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Español\"/>
    </mc:Choice>
  </mc:AlternateContent>
  <xr:revisionPtr revIDLastSave="0" documentId="13_ncr:1_{0D6647BE-82BC-4099-86D4-9D85D99F105F}" xr6:coauthVersionLast="47" xr6:coauthVersionMax="47" xr10:uidLastSave="{00000000-0000-0000-0000-000000000000}"/>
  <bookViews>
    <workbookView xWindow="-108" yWindow="-108" windowWidth="23256" windowHeight="12576" tabRatio="599"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bonos" sheetId="32" r:id="rId10"/>
    <sheet name="Deuda consolidada créditos" sheetId="33" r:id="rId11"/>
    <sheet name="Perfil deuda" sheetId="38" r:id="rId12"/>
    <sheet name="CAPEX" sheetId="8" r:id="rId13"/>
    <sheet name="Regulación TE" sheetId="9" r:id="rId14"/>
    <sheet name="Regulación vías" sheetId="24" r:id="rId15"/>
    <sheet name="Tráfico vías" sheetId="37" r:id="rId16"/>
    <sheet name="Dividendos" sheetId="16" r:id="rId17"/>
    <sheet name="Proyectos" sheetId="23" r:id="rId18"/>
    <sheet name="Vencimiento Concesiones" sheetId="35" r:id="rId19"/>
    <sheet name="Participación en compañías" sheetId="3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0" localSheetId="9">#REF!</definedName>
    <definedName name="\0" localSheetId="10">#REF!</definedName>
    <definedName name="\0" localSheetId="2">#REF!</definedName>
    <definedName name="\0" localSheetId="5">#REF!</definedName>
    <definedName name="\0" localSheetId="14">#REF!</definedName>
    <definedName name="\0">#REF!</definedName>
    <definedName name="\a" localSheetId="2">#REF!</definedName>
    <definedName name="\a" localSheetId="5">#REF!</definedName>
    <definedName name="\a" localSheetId="14">#REF!</definedName>
    <definedName name="\a">#REF!</definedName>
    <definedName name="\b" localSheetId="2">#REF!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9">#REF!</definedName>
    <definedName name="___DAT14" localSheetId="10">#REF!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9">#REF!</definedName>
    <definedName name="__DAT1" localSheetId="10">#REF!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9">#REF!</definedName>
    <definedName name="_DAT1" localSheetId="10">#REF!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9" hidden="1">'Participación en compañías'!$B$14:$I$121</definedName>
    <definedName name="_xlnm._FilterDatabase" localSheetId="17" hidden="1">Proyectos!$B$8:$D$48</definedName>
    <definedName name="_ftnref1" localSheetId="17">Proyectos!#REF!</definedName>
    <definedName name="_ftnref2" localSheetId="17">Proyectos!#REF!</definedName>
    <definedName name="_ftnref3" localSheetId="17">Proyectos!#REF!</definedName>
    <definedName name="_ftnref4" localSheetId="17">Proyectos!$B$28</definedName>
    <definedName name="_ftnref5" localSheetId="17">Proyectos!$C$27</definedName>
    <definedName name="_ftnref6" localSheetId="17">Proyectos!$C$37</definedName>
    <definedName name="_HOJ66" localSheetId="9">#REF!</definedName>
    <definedName name="_HOJ66" localSheetId="10">#REF!</definedName>
    <definedName name="_HOJ66" localSheetId="2">#REF!</definedName>
    <definedName name="_HOJ66" localSheetId="5">#REF!</definedName>
    <definedName name="_HOJ66" localSheetId="14">#REF!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9">#REF!</definedName>
    <definedName name="A" localSheetId="10">#REF!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9">#REF!</definedName>
    <definedName name="activosreserva" localSheetId="10">#REF!</definedName>
    <definedName name="activosreserva" localSheetId="2">#REF!</definedName>
    <definedName name="activosreserva" localSheetId="5">#REF!</definedName>
    <definedName name="activosreserva" localSheetId="14">#REF!</definedName>
    <definedName name="activosreserva">#REF!</definedName>
    <definedName name="Activostele" localSheetId="2">#REF!</definedName>
    <definedName name="Activostele" localSheetId="5">#REF!</definedName>
    <definedName name="Activostele" localSheetId="14">#REF!</definedName>
    <definedName name="Activostele">#REF!</definedName>
    <definedName name="Adicionada">'[6]Dados Perdas RAA'!$A$19:$N$25</definedName>
    <definedName name="Adicionada_Meta">'[6]Dados Perdas RAA'!$A$76:$N$82</definedName>
    <definedName name="ADTIVA" localSheetId="9">#REF!</definedName>
    <definedName name="ADTIVA" localSheetId="10">#REF!</definedName>
    <definedName name="ADTIVA" localSheetId="2">#REF!</definedName>
    <definedName name="ADTIVA" localSheetId="5">#REF!</definedName>
    <definedName name="ADTIVA" localSheetId="14">#REF!</definedName>
    <definedName name="ADTIVA">#REF!</definedName>
    <definedName name="AE" localSheetId="2">#REF!</definedName>
    <definedName name="AE" localSheetId="5">#REF!</definedName>
    <definedName name="AE" localSheetId="14">#REF!</definedName>
    <definedName name="AE">#REF!</definedName>
    <definedName name="AJUSTE" localSheetId="2">#REF!</definedName>
    <definedName name="AJUSTE" localSheetId="5">#REF!</definedName>
    <definedName name="AJUSTE" localSheetId="14">#REF!</definedName>
    <definedName name="AJUSTE">#REF!</definedName>
    <definedName name="ANE">[7]ELEGIR!$D$8</definedName>
    <definedName name="Ano_Vigente">[8]Tabela!$B$12</definedName>
    <definedName name="ANOUNO" localSheetId="9">#REF!</definedName>
    <definedName name="ANOUNO" localSheetId="10">#REF!</definedName>
    <definedName name="ANOUNO" localSheetId="2">#REF!</definedName>
    <definedName name="ANOUNO" localSheetId="5">#REF!</definedName>
    <definedName name="ANOUNO" localSheetId="14">#REF!</definedName>
    <definedName name="ANOUNO">#REF!</definedName>
    <definedName name="AOM_STE">'[4]aom reg'!$U$29:$AG$46</definedName>
    <definedName name="AOMC">[7]ELEGIR!$D$6</definedName>
    <definedName name="AOMI">[7]ELEGIR!$D$5</definedName>
    <definedName name="AP" localSheetId="9">#REF!</definedName>
    <definedName name="AP" localSheetId="10">#REF!</definedName>
    <definedName name="AP" localSheetId="2">#REF!</definedName>
    <definedName name="AP" localSheetId="5">#REF!</definedName>
    <definedName name="AP" localSheetId="14">#REF!</definedName>
    <definedName name="AP">#REF!</definedName>
    <definedName name="Aportes_Previsión_Social____Médicos" localSheetId="2">#REF!</definedName>
    <definedName name="Aportes_Previsión_Social____Médicos" localSheetId="5">#REF!</definedName>
    <definedName name="Aportes_Previsión_Social____Médicos" localSheetId="14">#REF!</definedName>
    <definedName name="Aportes_Previsión_Social____Médicos">#REF!</definedName>
    <definedName name="APOYO" localSheetId="2">#REF!</definedName>
    <definedName name="APOYO" localSheetId="5">#REF!</definedName>
    <definedName name="APOYO" localSheetId="14">#REF!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9">#REF!</definedName>
    <definedName name="AUTO" localSheetId="10">#REF!</definedName>
    <definedName name="AUTO" localSheetId="2">#REF!</definedName>
    <definedName name="AUTO" localSheetId="5">#REF!</definedName>
    <definedName name="AUTO" localSheetId="14">#REF!</definedName>
    <definedName name="AUTO">#REF!</definedName>
    <definedName name="AY" localSheetId="2">#REF!</definedName>
    <definedName name="AY" localSheetId="5">#REF!</definedName>
    <definedName name="AY" localSheetId="14">#REF!</definedName>
    <definedName name="AY">#REF!</definedName>
    <definedName name="b" localSheetId="2">#REF!</definedName>
    <definedName name="b" localSheetId="5">#REF!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9">#REF!</definedName>
    <definedName name="_xlnm.Database" localSheetId="10">#REF!</definedName>
    <definedName name="_xlnm.Database" localSheetId="2">#REF!</definedName>
    <definedName name="_xlnm.Database" localSheetId="5">#REF!</definedName>
    <definedName name="_xlnm.Database" localSheetId="14">#REF!</definedName>
    <definedName name="_xlnm.Database">#REF!</definedName>
    <definedName name="BASIS_EUR">'[10]#¡REF'!$C$52:$D$58</definedName>
    <definedName name="BASIS_JPY">'[10]#¡REF'!$E$52:$F$58</definedName>
    <definedName name="BC" localSheetId="9">#REF!</definedName>
    <definedName name="BC" localSheetId="10">#REF!</definedName>
    <definedName name="BC" localSheetId="2">#REF!</definedName>
    <definedName name="BC" localSheetId="5">#REF!</definedName>
    <definedName name="BC" localSheetId="14">#REF!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9">#REF!</definedName>
    <definedName name="BDI" localSheetId="10">#REF!</definedName>
    <definedName name="BDI" localSheetId="2">#REF!</definedName>
    <definedName name="BDI" localSheetId="5">#REF!</definedName>
    <definedName name="BDI" localSheetId="14">#REF!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9">#REF!</definedName>
    <definedName name="Bonificación_por_servicios_prestados" localSheetId="10">#REF!</definedName>
    <definedName name="Bonificación_por_servicios_prestados" localSheetId="2">#REF!</definedName>
    <definedName name="Bonificación_por_servicios_prestados" localSheetId="5">#REF!</definedName>
    <definedName name="Bonificación_por_servicios_prestados" localSheetId="14">#REF!</definedName>
    <definedName name="Bonificación_por_servicios_prestados">#REF!</definedName>
    <definedName name="BPRUEBA" localSheetId="2">#REF!</definedName>
    <definedName name="BPRUEBA" localSheetId="5">#REF!</definedName>
    <definedName name="BPRUEBA" localSheetId="14">#REF!</definedName>
    <definedName name="BPRUEBA">#REF!</definedName>
    <definedName name="BuiltIn_Print_Area">#N/A</definedName>
    <definedName name="BuiltIn_Print_Area___0___0" localSheetId="9">#REF!</definedName>
    <definedName name="BuiltIn_Print_Area___0___0" localSheetId="10">#REF!</definedName>
    <definedName name="BuiltIn_Print_Area___0___0" localSheetId="2">#REF!</definedName>
    <definedName name="BuiltIn_Print_Area___0___0" localSheetId="5">#REF!</definedName>
    <definedName name="BuiltIn_Print_Area___0___0" localSheetId="14">#REF!</definedName>
    <definedName name="BuiltIn_Print_Area___0___0">#REF!</definedName>
    <definedName name="C.M.">'[12]#¡REF'!$B$27</definedName>
    <definedName name="C_" localSheetId="9">#REF!</definedName>
    <definedName name="C_" localSheetId="10">#REF!</definedName>
    <definedName name="C_" localSheetId="2">#REF!</definedName>
    <definedName name="C_" localSheetId="5">#REF!</definedName>
    <definedName name="C_" localSheetId="14">#REF!</definedName>
    <definedName name="C_">#REF!</definedName>
    <definedName name="CAJA" localSheetId="2">#REF!</definedName>
    <definedName name="CAJA" localSheetId="5">#REF!</definedName>
    <definedName name="CAJA" localSheetId="14">#REF!</definedName>
    <definedName name="CAJA">#REF!</definedName>
    <definedName name="cajainver" localSheetId="2">'[13]BASES GENERALES'!#REF!</definedName>
    <definedName name="cajainver" localSheetId="5">'[13]BASES GENERALES'!#REF!</definedName>
    <definedName name="cajainver" localSheetId="14">'[13]BASES GENERALES'!#REF!</definedName>
    <definedName name="cajainver">'[13]BASES GENERALES'!#REF!</definedName>
    <definedName name="CALCULAR" localSheetId="9">#REF!</definedName>
    <definedName name="CALCULAR" localSheetId="10">#REF!</definedName>
    <definedName name="CALCULAR" localSheetId="2">#REF!</definedName>
    <definedName name="CALCULAR" localSheetId="5">#REF!</definedName>
    <definedName name="CALCULAR" localSheetId="14">#REF!</definedName>
    <definedName name="CALCULAR">#REF!</definedName>
    <definedName name="calculo_dividendos">[4]Dividendos!$G$32</definedName>
    <definedName name="cambiar" localSheetId="9">#REF!</definedName>
    <definedName name="cambiar" localSheetId="10">#REF!</definedName>
    <definedName name="cambiar" localSheetId="2">#REF!</definedName>
    <definedName name="cambiar" localSheetId="5">#REF!</definedName>
    <definedName name="cambiar" localSheetId="14">#REF!</definedName>
    <definedName name="cambiar">#REF!</definedName>
    <definedName name="CAPITAL_MESES">[6]Capitalização!$F$41:$AC$49</definedName>
    <definedName name="CARACTERISTICAS" localSheetId="9">#REF!</definedName>
    <definedName name="CARACTERISTICAS" localSheetId="10">#REF!</definedName>
    <definedName name="CARACTERISTICAS" localSheetId="2">#REF!</definedName>
    <definedName name="CARACTERISTICAS" localSheetId="5">#REF!</definedName>
    <definedName name="CARACTERISTICAS" localSheetId="14">#REF!</definedName>
    <definedName name="CARACTERISTICAS">#REF!</definedName>
    <definedName name="causinver" localSheetId="9">'[13]BASES GENERALES'!#REF!</definedName>
    <definedName name="causinver" localSheetId="10">'[13]BASES GENERALES'!#REF!</definedName>
    <definedName name="causinver" localSheetId="2">'[13]BASES GENERALES'!#REF!</definedName>
    <definedName name="causinver" localSheetId="14">'[13]BASES GENERALES'!#REF!</definedName>
    <definedName name="causinver">'[13]BASES GENERALES'!#REF!</definedName>
    <definedName name="ccioespecial" localSheetId="9">#REF!</definedName>
    <definedName name="ccioespecial" localSheetId="10">#REF!</definedName>
    <definedName name="ccioespecial" localSheetId="2">#REF!</definedName>
    <definedName name="ccioespecial" localSheetId="5">#REF!</definedName>
    <definedName name="ccioespecial" localSheetId="14">#REF!</definedName>
    <definedName name="ccioespecial">#REF!</definedName>
    <definedName name="CDEC">'[5]Dados DEC e FEC'!$CI$6:$CT$69</definedName>
    <definedName name="CECOS">'[10]#¡REF'!$C$2:$K$90</definedName>
    <definedName name="CFEC">'[5]Dados DEC e FEC'!$CI$80:$CT$143</definedName>
    <definedName name="CFJDHFD" localSheetId="9" hidden="1">{"'EST.RDOS(INT)'!$A$5:$E$58"}</definedName>
    <definedName name="CFJDHFD" localSheetId="10" hidden="1">{"'EST.RDOS(INT)'!$A$5:$E$58"}</definedName>
    <definedName name="CFJDHFD" localSheetId="2" hidden="1">{"'EST.RDOS(INT)'!$A$5:$E$58"}</definedName>
    <definedName name="CFJDHFD" localSheetId="5" hidden="1">{"'EST.RDOS(INT)'!$A$5:$E$58"}</definedName>
    <definedName name="CFJDHFD" localSheetId="14" hidden="1">{"'EST.RDOS(INT)'!$A$5:$E$58"}</definedName>
    <definedName name="CFJDHFD" hidden="1">{"'EST.RDOS(INT)'!$A$5:$E$58"}</definedName>
    <definedName name="CHF">[3]Lista!#REF!</definedName>
    <definedName name="CINT" localSheetId="9">#REF!</definedName>
    <definedName name="CINT" localSheetId="10">#REF!</definedName>
    <definedName name="CINT" localSheetId="14">#REF!</definedName>
    <definedName name="CINT">#REF!</definedName>
    <definedName name="CLASSIF_DEP" localSheetId="14">#REF!</definedName>
    <definedName name="CLASSIF_DEP">#REF!</definedName>
    <definedName name="CLASSIFICAÇÃO" localSheetId="14">[14]ANALITICO!#REF!</definedName>
    <definedName name="CLASSIFICAÇÃO">[14]ANALITICO!#REF!</definedName>
    <definedName name="CLAUSULA" localSheetId="9">#REF!</definedName>
    <definedName name="CLAUSULA" localSheetId="10">#REF!</definedName>
    <definedName name="CLAUSULA" localSheetId="2">#REF!</definedName>
    <definedName name="CLAUSULA" localSheetId="5">#REF!</definedName>
    <definedName name="CLAUSULA" localSheetId="14">#REF!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9">#REF!</definedName>
    <definedName name="CND" localSheetId="10">#REF!</definedName>
    <definedName name="CND" localSheetId="2">#REF!</definedName>
    <definedName name="CND" localSheetId="5">#REF!</definedName>
    <definedName name="CND" localSheetId="14">#REF!</definedName>
    <definedName name="CND">#REF!</definedName>
    <definedName name="COBERTURA_INVERSION">'[12]#¡REF'!$B$36</definedName>
    <definedName name="cobertura_serv">'[15]graf indi'!$J$31</definedName>
    <definedName name="COBERTURA_SERVICIO_DEUDA">'[12]#¡REF'!$B$35</definedName>
    <definedName name="codigos_válidos" localSheetId="9">#REF!</definedName>
    <definedName name="codigos_válidos" localSheetId="10">#REF!</definedName>
    <definedName name="codigos_válidos" localSheetId="2">#REF!</definedName>
    <definedName name="codigos_válidos" localSheetId="5">#REF!</definedName>
    <definedName name="codigos_válidos" localSheetId="14">#REF!</definedName>
    <definedName name="codigos_válidos">#REF!</definedName>
    <definedName name="Concepto_por_Gerencia" localSheetId="2">#REF!</definedName>
    <definedName name="Concepto_por_Gerencia" localSheetId="5">#REF!</definedName>
    <definedName name="Concepto_por_Gerencia" localSheetId="14">#REF!</definedName>
    <definedName name="Concepto_por_Gerencia">#REF!</definedName>
    <definedName name="condiciones_nuevas_finan">'[4]Flujo año 00-01-02'!$K$63</definedName>
    <definedName name="CONEX" localSheetId="9">#REF!</definedName>
    <definedName name="CONEX" localSheetId="10">#REF!</definedName>
    <definedName name="CONEX" localSheetId="2">#REF!</definedName>
    <definedName name="CONEX" localSheetId="5">#REF!</definedName>
    <definedName name="CONEX" localSheetId="14">#REF!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9">#REF!</definedName>
    <definedName name="consolidado" localSheetId="10">#REF!</definedName>
    <definedName name="consolidado" localSheetId="2">#REF!</definedName>
    <definedName name="consolidado" localSheetId="5">#REF!</definedName>
    <definedName name="consolidado" localSheetId="14">#REF!</definedName>
    <definedName name="consolidado">#REF!</definedName>
    <definedName name="CONSUMO_ESTRATO_3" localSheetId="2">#REF!</definedName>
    <definedName name="CONSUMO_ESTRATO_3" localSheetId="5">#REF!</definedName>
    <definedName name="CONSUMO_ESTRATO_3" localSheetId="14">#REF!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9">#REF!</definedName>
    <definedName name="CONTRIBUCIONES_IMPUESTOS" localSheetId="10">#REF!</definedName>
    <definedName name="CONTRIBUCIONES_IMPUESTOS" localSheetId="2">#REF!</definedName>
    <definedName name="CONTRIBUCIONES_IMPUESTOS" localSheetId="5">#REF!</definedName>
    <definedName name="CONTRIBUCIONES_IMPUESTOS" localSheetId="14">#REF!</definedName>
    <definedName name="CONTRIBUCIONES_IMPUESTOS">#REF!</definedName>
    <definedName name="CORT3E4">[5]Dados_Perdas!$C$49:$O$60</definedName>
    <definedName name="Costo_Ventas">'[12]#¡REF'!$B$16</definedName>
    <definedName name="CPGERAL07" localSheetId="9">#REF!</definedName>
    <definedName name="CPGERAL07" localSheetId="10">#REF!</definedName>
    <definedName name="CPGERAL07" localSheetId="2">#REF!</definedName>
    <definedName name="CPGERAL07" localSheetId="5">#REF!</definedName>
    <definedName name="CPGERAL07" localSheetId="14">#REF!</definedName>
    <definedName name="CPGERAL07">#REF!</definedName>
    <definedName name="CPOPER07" localSheetId="2">#REF!</definedName>
    <definedName name="CPOPER07" localSheetId="5">#REF!</definedName>
    <definedName name="CPOPER07" localSheetId="14">#REF!</definedName>
    <definedName name="CPOPER07">#REF!</definedName>
    <definedName name="CPPERD07" localSheetId="2">#REF!</definedName>
    <definedName name="CPPERD07" localSheetId="5">#REF!</definedName>
    <definedName name="CPPERD07" localSheetId="14">#REF!</definedName>
    <definedName name="CPPERD07">#REF!</definedName>
    <definedName name="CPRJ">'[6]Dados ISO 9001'!$C$24:$D$30</definedName>
    <definedName name="CPSUB07" localSheetId="9">#REF!</definedName>
    <definedName name="CPSUB07" localSheetId="10">#REF!</definedName>
    <definedName name="CPSUB07" localSheetId="2">#REF!</definedName>
    <definedName name="CPSUB07" localSheetId="5">#REF!</definedName>
    <definedName name="CPSUB07" localSheetId="14">#REF!</definedName>
    <definedName name="CPSUB07">#REF!</definedName>
    <definedName name="CPUNDER07" localSheetId="2">#REF!</definedName>
    <definedName name="CPUNDER07" localSheetId="5">#REF!</definedName>
    <definedName name="CPUNDER07" localSheetId="14">#REF!</definedName>
    <definedName name="CPUNDER07">#REF!</definedName>
    <definedName name="Criteria_MI" localSheetId="2">#REF!</definedName>
    <definedName name="Criteria_MI" localSheetId="5">#REF!</definedName>
    <definedName name="Criteria_MI" localSheetId="14">#REF!</definedName>
    <definedName name="Criteria_MI">#REF!</definedName>
    <definedName name="_xlnm.Criteria">#REF!</definedName>
    <definedName name="csDesignMode">1</definedName>
    <definedName name="ctacte" localSheetId="9">#REF!</definedName>
    <definedName name="ctacte" localSheetId="10">#REF!</definedName>
    <definedName name="ctacte">#REF!</definedName>
    <definedName name="ctak">#REF!</definedName>
    <definedName name="CVALUE">'[5]Dados RiscoEnergia'!$E$6:$Q$17</definedName>
    <definedName name="D" localSheetId="9">#REF!</definedName>
    <definedName name="D" localSheetId="10">#REF!</definedName>
    <definedName name="D" localSheetId="2">#REF!</definedName>
    <definedName name="D" localSheetId="5">#REF!</definedName>
    <definedName name="D" localSheetId="14">#REF!</definedName>
    <definedName name="D">#REF!</definedName>
    <definedName name="Database_MI" localSheetId="2">#REF!</definedName>
    <definedName name="Database_MI" localSheetId="5">#REF!</definedName>
    <definedName name="Database_MI" localSheetId="14">#REF!</definedName>
    <definedName name="Database_MI">#REF!</definedName>
    <definedName name="datos">[4]historia!$A$115:$IV$183</definedName>
    <definedName name="DBHH" localSheetId="9">#REF!</definedName>
    <definedName name="DBHH" localSheetId="10">#REF!</definedName>
    <definedName name="DBHH" localSheetId="2">#REF!</definedName>
    <definedName name="DBHH" localSheetId="5">#REF!</definedName>
    <definedName name="DBHH" localSheetId="14">#REF!</definedName>
    <definedName name="DBHH">#REF!</definedName>
    <definedName name="DBT" localSheetId="2">#REF!</definedName>
    <definedName name="DBT" localSheetId="5">#REF!</definedName>
    <definedName name="DBT" localSheetId="14">#REF!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9">[6]Dados_DEC!#REF!</definedName>
    <definedName name="DEC_512005" localSheetId="10">[6]Dados_DEC!#REF!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9">#REF!</definedName>
    <definedName name="DECI" localSheetId="10">#REF!</definedName>
    <definedName name="DECI" localSheetId="2">#REF!</definedName>
    <definedName name="DECI" localSheetId="5">#REF!</definedName>
    <definedName name="DECI" localSheetId="14">#REF!</definedName>
    <definedName name="DECI">#REF!</definedName>
    <definedName name="deprecia">'[4]aom reg'!$W$7:$AB$12</definedName>
    <definedName name="Depreciaciones_y_Amort.">'[12]#¡REF'!$B$17</definedName>
    <definedName name="DEPRECIATION" localSheetId="9">#REF!</definedName>
    <definedName name="DEPRECIATION" localSheetId="10">#REF!</definedName>
    <definedName name="DEPRECIATION" localSheetId="2">#REF!</definedName>
    <definedName name="DEPRECIATION" localSheetId="5">#REF!</definedName>
    <definedName name="DEPRECIATION" localSheetId="14">#REF!</definedName>
    <definedName name="DEPRECIATION">#REF!</definedName>
    <definedName name="DEPT____GN_D" localSheetId="9">[14]ANALITICO!#REF!</definedName>
    <definedName name="DEPT____GN_D" localSheetId="10">[14]ANALITICO!#REF!</definedName>
    <definedName name="DEPT____GN_D" localSheetId="2">[14]ANALITICO!#REF!</definedName>
    <definedName name="DEPT____GN_D" localSheetId="14">[14]ANALITICO!#REF!</definedName>
    <definedName name="DEPT____GN_D">[14]ANALITICO!#REF!</definedName>
    <definedName name="DESFALT" localSheetId="9">#REF!</definedName>
    <definedName name="DESFALT" localSheetId="10">#REF!</definedName>
    <definedName name="DESFALT" localSheetId="2">#REF!</definedName>
    <definedName name="DESFALT" localSheetId="5">#REF!</definedName>
    <definedName name="DESFALT" localSheetId="14">#REF!</definedName>
    <definedName name="DESFALT">#REF!</definedName>
    <definedName name="DESPESAS">'[5]Dados Inadimplência'!$C$49:$O$62</definedName>
    <definedName name="DEUDA" localSheetId="9">#REF!</definedName>
    <definedName name="DEUDA" localSheetId="10">#REF!</definedName>
    <definedName name="DEUDA" localSheetId="2">#REF!</definedName>
    <definedName name="DEUDA" localSheetId="5">#REF!</definedName>
    <definedName name="DEUDA" localSheetId="14">#REF!</definedName>
    <definedName name="DEUDA">#REF!</definedName>
    <definedName name="DEUDAL" localSheetId="2">#REF!</definedName>
    <definedName name="DEUDAL" localSheetId="5">#REF!</definedName>
    <definedName name="DEUDAL" localSheetId="14">#REF!</definedName>
    <definedName name="DEUDAL">#REF!</definedName>
    <definedName name="deudalp" localSheetId="2">#REF!</definedName>
    <definedName name="deudalp" localSheetId="5">#REF!</definedName>
    <definedName name="deudalp" localSheetId="14">#REF!</definedName>
    <definedName name="deudalp">#REF!</definedName>
    <definedName name="dfjdlñfj" localSheetId="9" hidden="1">{"'EST.RDOS(INT)'!$A$5:$E$58"}</definedName>
    <definedName name="dfjdlñfj" localSheetId="10" hidden="1">{"'EST.RDOS(INT)'!$A$5:$E$58"}</definedName>
    <definedName name="dfjdlñfj" localSheetId="2" hidden="1">{"'EST.RDOS(INT)'!$A$5:$E$58"}</definedName>
    <definedName name="dfjdlñfj" localSheetId="5" hidden="1">{"'EST.RDOS(INT)'!$A$5:$E$58"}</definedName>
    <definedName name="dfjdlñfj" localSheetId="14"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9">#REF!</definedName>
    <definedName name="DSDSD" localSheetId="10">#REF!</definedName>
    <definedName name="DSDSD" localSheetId="2">#REF!</definedName>
    <definedName name="DSDSD" localSheetId="5">#REF!</definedName>
    <definedName name="DSDSD" localSheetId="14">#REF!</definedName>
    <definedName name="DSDSD">#REF!</definedName>
    <definedName name="DSO">'[5]Dados Inadimplência'!$C$66:$O$69</definedName>
    <definedName name="DUFF" localSheetId="9" hidden="1">{"'EST.RDOS(INT)'!$A$5:$E$58"}</definedName>
    <definedName name="DUFF" localSheetId="10" hidden="1">{"'EST.RDOS(INT)'!$A$5:$E$58"}</definedName>
    <definedName name="DUFF" localSheetId="2" hidden="1">{"'EST.RDOS(INT)'!$A$5:$E$58"}</definedName>
    <definedName name="DUFF" localSheetId="5" hidden="1">{"'EST.RDOS(INT)'!$A$5:$E$58"}</definedName>
    <definedName name="DUFF" localSheetId="14" hidden="1">{"'EST.RDOS(INT)'!$A$5:$E$58"}</definedName>
    <definedName name="DUFF" hidden="1">{"'EST.RDOS(INT)'!$A$5:$E$58"}</definedName>
    <definedName name="duff2" localSheetId="9" hidden="1">{"'EST.RDOS(INT)'!$A$5:$E$58"}</definedName>
    <definedName name="duff2" localSheetId="10" hidden="1">{"'EST.RDOS(INT)'!$A$5:$E$58"}</definedName>
    <definedName name="duff2" localSheetId="2" hidden="1">{"'EST.RDOS(INT)'!$A$5:$E$58"}</definedName>
    <definedName name="duff2" localSheetId="5" hidden="1">{"'EST.RDOS(INT)'!$A$5:$E$58"}</definedName>
    <definedName name="duff2" localSheetId="14"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9">#REF!</definedName>
    <definedName name="ELITE" localSheetId="10">#REF!</definedName>
    <definedName name="ELITE" localSheetId="2">#REF!</definedName>
    <definedName name="ELITE" localSheetId="5">#REF!</definedName>
    <definedName name="ELITE" localSheetId="14">#REF!</definedName>
    <definedName name="ELITE">#REF!</definedName>
    <definedName name="ELITE1" localSheetId="2">#REF!</definedName>
    <definedName name="ELITE1" localSheetId="5">#REF!</definedName>
    <definedName name="ELITE1" localSheetId="14">#REF!</definedName>
    <definedName name="ELITE1">#REF!</definedName>
    <definedName name="ENDEUDAMIENTO_BANCARIO">'[12]#¡REF'!$B$39</definedName>
    <definedName name="ENDEUDAMIENTO_L.P.">'[12]#¡REF'!$B$38</definedName>
    <definedName name="ENERO" localSheetId="9">'[16]AOM CON FAER mes'!#REF!</definedName>
    <definedName name="ENERO" localSheetId="10">'[16]AOM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9">#REF!</definedName>
    <definedName name="ERP" localSheetId="10">#REF!</definedName>
    <definedName name="ERP" localSheetId="2">#REF!</definedName>
    <definedName name="ERP" localSheetId="5">#REF!</definedName>
    <definedName name="ERP" localSheetId="14">#REF!</definedName>
    <definedName name="ERP">#REF!</definedName>
    <definedName name="ERPC" localSheetId="2">#REF!</definedName>
    <definedName name="ERPC" localSheetId="5">#REF!</definedName>
    <definedName name="ERPC" localSheetId="14">#REF!</definedName>
    <definedName name="ERPC">#REF!</definedName>
    <definedName name="ERROR" localSheetId="2">#REF!</definedName>
    <definedName name="ERROR" localSheetId="5">#REF!</definedName>
    <definedName name="ERROR" localSheetId="14">#REF!</definedName>
    <definedName name="ERROR">#REF!</definedName>
    <definedName name="ESP">#REF!</definedName>
    <definedName name="ESPC">#REF!</definedName>
    <definedName name="Estado_Resultados">[9]HESREGRF!$A$16:$G$46</definedName>
    <definedName name="Estados_Resultados_Datos">[9]ESRES!$A$1:$G$40</definedName>
    <definedName name="ESTITLE" localSheetId="9">#REF!</definedName>
    <definedName name="ESTITLE" localSheetId="10">#REF!</definedName>
    <definedName name="ESTITLE" localSheetId="2">#REF!</definedName>
    <definedName name="ESTITLE" localSheetId="5">#REF!</definedName>
    <definedName name="ESTITLE" localSheetId="14">#REF!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9">#REF!</definedName>
    <definedName name="EXP" localSheetId="10">#REF!</definedName>
    <definedName name="EXP" localSheetId="2">#REF!</definedName>
    <definedName name="EXP" localSheetId="5">#REF!</definedName>
    <definedName name="EXP" localSheetId="14">#REF!</definedName>
    <definedName name="EXP">#REF!</definedName>
    <definedName name="exponotra" localSheetId="2">#REF!</definedName>
    <definedName name="exponotra" localSheetId="5">#REF!</definedName>
    <definedName name="exponotra" localSheetId="14">#REF!</definedName>
    <definedName name="exponotra">#REF!</definedName>
    <definedName name="EXTRACCIÓN_IM">#N/A</definedName>
    <definedName name="Extract_MI" localSheetId="9">#REF!</definedName>
    <definedName name="Extract_MI" localSheetId="10">#REF!</definedName>
    <definedName name="Extract_MI" localSheetId="2">#REF!</definedName>
    <definedName name="Extract_MI" localSheetId="5">#REF!</definedName>
    <definedName name="Extract_MI" localSheetId="14">#REF!</definedName>
    <definedName name="Extract_MI">#REF!</definedName>
    <definedName name="EYD" localSheetId="2">#REF!</definedName>
    <definedName name="EYD" localSheetId="14">#REF!</definedName>
    <definedName name="EYD">#REF!</definedName>
    <definedName name="factor">'[7]c.u. vigentes'!$B$26</definedName>
    <definedName name="FALT" localSheetId="9">#REF!</definedName>
    <definedName name="FALT" localSheetId="10">#REF!</definedName>
    <definedName name="FALT" localSheetId="2">#REF!</definedName>
    <definedName name="FALT" localSheetId="5">#REF!</definedName>
    <definedName name="FALT" localSheetId="14">#REF!</definedName>
    <definedName name="FALT">#REF!</definedName>
    <definedName name="FALT1" localSheetId="2">#REF!</definedName>
    <definedName name="FALT1" localSheetId="5">#REF!</definedName>
    <definedName name="FALT1" localSheetId="14">#REF!</definedName>
    <definedName name="FALT1">#REF!</definedName>
    <definedName name="FALTANTE" localSheetId="2">#REF!</definedName>
    <definedName name="FALTANTE" localSheetId="5">#REF!</definedName>
    <definedName name="FALTANTE" localSheetId="14">#REF!</definedName>
    <definedName name="FALTANTE">#REF!</definedName>
    <definedName name="FATAL">[5]DadosSeguranc!$G$390:$R$395</definedName>
    <definedName name="FCRA" localSheetId="9">#REF!</definedName>
    <definedName name="FCRA" localSheetId="10">#REF!</definedName>
    <definedName name="FCRA" localSheetId="2">#REF!</definedName>
    <definedName name="FCRA" localSheetId="5">#REF!</definedName>
    <definedName name="FCRA" localSheetId="14">#REF!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9">#REF!</definedName>
    <definedName name="FFSDFSD" localSheetId="10">#REF!</definedName>
    <definedName name="FFSDFSD" localSheetId="2">#REF!</definedName>
    <definedName name="FFSDFSD" localSheetId="5">#REF!</definedName>
    <definedName name="FFSDFSD" localSheetId="14">#REF!</definedName>
    <definedName name="FFSDFSD">#REF!</definedName>
    <definedName name="fg" localSheetId="9" hidden="1">{"'EST.RDOS(INT)'!$A$5:$E$58"}</definedName>
    <definedName name="fg" localSheetId="10" hidden="1">{"'EST.RDOS(INT)'!$A$5:$E$58"}</definedName>
    <definedName name="fg" localSheetId="2" hidden="1">{"'EST.RDOS(INT)'!$A$5:$E$58"}</definedName>
    <definedName name="fg" localSheetId="5" hidden="1">{"'EST.RDOS(INT)'!$A$5:$E$58"}</definedName>
    <definedName name="fg" localSheetId="14" hidden="1">{"'EST.RDOS(INT)'!$A$5:$E$58"}</definedName>
    <definedName name="fg" hidden="1">{"'EST.RDOS(INT)'!$A$5:$E$58"}</definedName>
    <definedName name="Financiación">'[12]#¡REF'!$B$7</definedName>
    <definedName name="flujocpa" localSheetId="9">#REF!</definedName>
    <definedName name="flujocpa" localSheetId="10">#REF!</definedName>
    <definedName name="flujocpa" localSheetId="2">#REF!</definedName>
    <definedName name="flujocpa" localSheetId="5">#REF!</definedName>
    <definedName name="flujocpa" localSheetId="14">#REF!</definedName>
    <definedName name="flujocpa">#REF!</definedName>
    <definedName name="flujocpp" localSheetId="2">#REF!</definedName>
    <definedName name="flujocpp" localSheetId="5">#REF!</definedName>
    <definedName name="flujocpp" localSheetId="14">#REF!</definedName>
    <definedName name="flujocpp">#REF!</definedName>
    <definedName name="flujoesp" localSheetId="2">#REF!</definedName>
    <definedName name="flujoesp" localSheetId="5">#REF!</definedName>
    <definedName name="flujoesp" localSheetId="14">#REF!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9">#REF!</definedName>
    <definedName name="FORDIV" localSheetId="10">#REF!</definedName>
    <definedName name="FORDIV" localSheetId="2">#REF!</definedName>
    <definedName name="FORDIV" localSheetId="5">#REF!</definedName>
    <definedName name="FORDIV" localSheetId="14">#REF!</definedName>
    <definedName name="FORDIV">#REF!</definedName>
    <definedName name="FRANOM">[5]Dados_Perdas!$C$18:$O$29</definedName>
    <definedName name="Fraude_CSPE">'[6]Dados Ouvidoria II'!$C$70:$O$76</definedName>
    <definedName name="FUEN" localSheetId="9">#REF!,#REF!,#REF!,#REF!,#REF!,#REF!,#REF!,#REF!,#REF!,#REF!,#REF!,#REF!,#REF!,#REF!,#REF!,#REF!,#REF!,#REF!,#REF!,#REF!,#REF!,#REF!,#REF!,#REF!,#REF!,#REF!,#REF!,#REF!,#REF!</definedName>
    <definedName name="FUEN" localSheetId="10">#REF!,#REF!,#REF!,#REF!,#REF!,#REF!,#REF!,#REF!,#REF!,#REF!,#REF!,#REF!,#REF!,#REF!,#REF!,#REF!,#REF!,#REF!,#REF!,#REF!,#REF!,#REF!,#REF!,#REF!,#REF!,#REF!,#REF!,#REF!,#REF!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9">#REF!</definedName>
    <definedName name="GASTOS_GENERALES" localSheetId="10">#REF!</definedName>
    <definedName name="GASTOS_GENERALES" localSheetId="2">#REF!</definedName>
    <definedName name="GASTOS_GENERALES" localSheetId="5">#REF!</definedName>
    <definedName name="GASTOS_GENERALES" localSheetId="14">#REF!</definedName>
    <definedName name="GASTOS_GENERALES">#REF!</definedName>
    <definedName name="Gastos_Operacionales" localSheetId="2">#REF!</definedName>
    <definedName name="Gastos_Operacionales" localSheetId="5">#REF!</definedName>
    <definedName name="Gastos_Operacionales" localSheetId="14">#REF!</definedName>
    <definedName name="Gastos_Operacionales">#REF!</definedName>
    <definedName name="GESTION" localSheetId="2">#REF!</definedName>
    <definedName name="GESTION" localSheetId="5">#REF!</definedName>
    <definedName name="GESTION" localSheetId="14">#REF!</definedName>
    <definedName name="GESTION">#REF!</definedName>
    <definedName name="GGRAL">#REF!</definedName>
    <definedName name="GINCL">#REF!</definedName>
    <definedName name="grafic_aom_remunera">'[4]aom reg'!$AG$61</definedName>
    <definedName name="GRAVE">[5]DadosSeguranc!$G$398:$R$403</definedName>
    <definedName name="Header" localSheetId="9">#REF!</definedName>
    <definedName name="Header" localSheetId="10">#REF!</definedName>
    <definedName name="Header" localSheetId="2">#REF!</definedName>
    <definedName name="Header" localSheetId="5">#REF!</definedName>
    <definedName name="Header" localSheetId="14">#REF!</definedName>
    <definedName name="Header">#REF!</definedName>
    <definedName name="hhhhhhhhhhhh">'[12]#¡REF'!$B$6</definedName>
    <definedName name="HHT" localSheetId="9">'[17]Dados Work'!#REF!</definedName>
    <definedName name="HHT" localSheetId="10">'[17]Dados Work'!#REF!</definedName>
    <definedName name="HHT">'[17]Dados Work'!#REF!</definedName>
    <definedName name="HHTOPER07" localSheetId="9">#REF!</definedName>
    <definedName name="HHTOPER07" localSheetId="10">#REF!</definedName>
    <definedName name="HHTOPER07" localSheetId="2">#REF!</definedName>
    <definedName name="HHTOPER07" localSheetId="5">#REF!</definedName>
    <definedName name="HHTOPER07" localSheetId="14">#REF!</definedName>
    <definedName name="HHTOPER07">#REF!</definedName>
    <definedName name="HHTPER07" localSheetId="2">#REF!</definedName>
    <definedName name="HHTPER07" localSheetId="5">#REF!</definedName>
    <definedName name="HHTPER07" localSheetId="14">#REF!</definedName>
    <definedName name="HHTPER07">#REF!</definedName>
    <definedName name="HHTSUB07" localSheetId="2">#REF!</definedName>
    <definedName name="HHTSUB07" localSheetId="5">#REF!</definedName>
    <definedName name="HHTSUB07" localSheetId="14">#REF!</definedName>
    <definedName name="HHTSUB07">#REF!</definedName>
    <definedName name="hhtunder07">#REF!</definedName>
    <definedName name="hjhjhjh" localSheetId="9" hidden="1">{"'EST.RDOS(INT)'!$A$5:$E$58"}</definedName>
    <definedName name="hjhjhjh" localSheetId="10" hidden="1">{"'EST.RDOS(INT)'!$A$5:$E$58"}</definedName>
    <definedName name="hjhjhjh" localSheetId="2" hidden="1">{"'EST.RDOS(INT)'!$A$5:$E$58"}</definedName>
    <definedName name="hjhjhjh" localSheetId="5" hidden="1">{"'EST.RDOS(INT)'!$A$5:$E$58"}</definedName>
    <definedName name="hjhjhjh" localSheetId="14"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9" hidden="1">{"'EST.RDOS(INT)'!$A$5:$E$58"}</definedName>
    <definedName name="HTML_Control" localSheetId="10" hidden="1">{"'EST.RDOS(INT)'!$A$5:$E$58"}</definedName>
    <definedName name="HTML_Control" localSheetId="2" hidden="1">{"'EST.RDOS(INT)'!$A$5:$E$58"}</definedName>
    <definedName name="HTML_Control" localSheetId="5" hidden="1">{"'EST.RDOS(INT)'!$A$5:$E$58"}</definedName>
    <definedName name="HTML_Control" localSheetId="14"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9">#REF!</definedName>
    <definedName name="IDIOMA" localSheetId="10">#REF!</definedName>
    <definedName name="IDIOMA" localSheetId="2">#REF!</definedName>
    <definedName name="IDIOMA" localSheetId="5">#REF!</definedName>
    <definedName name="IDIOMA" localSheetId="14">#REF!</definedName>
    <definedName name="IDIOMA">#REF!</definedName>
    <definedName name="IFC10MM" localSheetId="2">#REF!</definedName>
    <definedName name="IFC10MM" localSheetId="5">#REF!</definedName>
    <definedName name="IFC10MM" localSheetId="14">#REF!</definedName>
    <definedName name="IFC10MM">#REF!</definedName>
    <definedName name="iiiiiiii">'[12]#¡REF'!$B$6</definedName>
    <definedName name="IM_10MIL">'[6]Dados Faturamento'!$C$71:$N$77</definedName>
    <definedName name="IM_IRC">'[6]Dados Faturamento'!$C$102:$N$108</definedName>
    <definedName name="IMPANO0" localSheetId="9">#REF!</definedName>
    <definedName name="IMPANO0" localSheetId="10">#REF!</definedName>
    <definedName name="IMPANO0" localSheetId="2">#REF!</definedName>
    <definedName name="IMPANO0" localSheetId="5">#REF!</definedName>
    <definedName name="IMPANO0" localSheetId="14">#REF!</definedName>
    <definedName name="IMPANO0">#REF!</definedName>
    <definedName name="impoprto" localSheetId="2">#REF!</definedName>
    <definedName name="impoprto" localSheetId="5">#REF!</definedName>
    <definedName name="impoprto" localSheetId="14">#REF!</definedName>
    <definedName name="impoprto">#REF!</definedName>
    <definedName name="IMPRI" localSheetId="2">#REF!</definedName>
    <definedName name="IMPRI" localSheetId="5">#REF!</definedName>
    <definedName name="IMPRI" localSheetId="14">#REF!</definedName>
    <definedName name="IMPRI">#REF!</definedName>
    <definedName name="Impuestos">'[12]#¡REF'!$B$28</definedName>
    <definedName name="increm_eva">'[15]graf indi'!$J$11</definedName>
    <definedName name="Incremento_mensual_Dev.">'[12]#¡REF'!$B$3</definedName>
    <definedName name="INCSTMT_DETAIL" localSheetId="9">#REF!</definedName>
    <definedName name="INCSTMT_DETAIL" localSheetId="10">#REF!</definedName>
    <definedName name="INCSTMT_DETAIL" localSheetId="2">#REF!</definedName>
    <definedName name="INCSTMT_DETAIL" localSheetId="5">#REF!</definedName>
    <definedName name="INCSTMT_DETAIL" localSheetId="14">#REF!</definedName>
    <definedName name="INCSTMT_DETAIL">#REF!</definedName>
    <definedName name="indi">[18]Datos!$D$129</definedName>
    <definedName name="INDICA" localSheetId="9">#REF!</definedName>
    <definedName name="INDICA" localSheetId="10">#REF!</definedName>
    <definedName name="INDICA" localSheetId="2">#REF!</definedName>
    <definedName name="INDICA" localSheetId="5">#REF!</definedName>
    <definedName name="INDICA" localSheetId="14">#REF!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9">#REF!</definedName>
    <definedName name="ingles" localSheetId="10">#REF!</definedName>
    <definedName name="ingles" localSheetId="2">#REF!</definedName>
    <definedName name="ingles" localSheetId="5">#REF!</definedName>
    <definedName name="ingles" localSheetId="14">#REF!</definedName>
    <definedName name="ingles">#REF!</definedName>
    <definedName name="ingregastoconextele" localSheetId="9">'[4]PyG Año 00-01-02'!#REF!</definedName>
    <definedName name="ingregastoconextele" localSheetId="10">'[4]PyG Año 00-01-02'!#REF!</definedName>
    <definedName name="ingregastoconextele" localSheetId="2">'[4]PyG Año 00-01-02'!#REF!</definedName>
    <definedName name="ingregastoconextele" localSheetId="14">'[4]PyG Año 00-01-02'!#REF!</definedName>
    <definedName name="ingregastoconextele">'[4]PyG Año 00-01-02'!#REF!</definedName>
    <definedName name="ingregastoconextrans">'[4]PyG Año 00-01-02'!$A$353</definedName>
    <definedName name="INGREGASTOSTELE">'[4]PyG Año 00-01-02'!$A$269:$H$274</definedName>
    <definedName name="ingresos" localSheetId="9">#REF!</definedName>
    <definedName name="ingresos" localSheetId="10">#REF!</definedName>
    <definedName name="ingresos" localSheetId="2">#REF!</definedName>
    <definedName name="ingresos" localSheetId="5">#REF!</definedName>
    <definedName name="ingresos" localSheetId="14">#REF!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9">#REF!</definedName>
    <definedName name="INICIO" localSheetId="10">#REF!</definedName>
    <definedName name="INICIO" localSheetId="2">#REF!</definedName>
    <definedName name="INICIO" localSheetId="5">#REF!</definedName>
    <definedName name="INICIO" localSheetId="14">#REF!</definedName>
    <definedName name="INICIO">#REF!</definedName>
    <definedName name="INIDEUDA" localSheetId="2">#REF!</definedName>
    <definedName name="INIDEUDA" localSheetId="5">#REF!</definedName>
    <definedName name="INIDEUDA" localSheetId="14">#REF!</definedName>
    <definedName name="INIDEUDA">#REF!</definedName>
    <definedName name="INPUT1" localSheetId="2">[3]Lista!#REF!</definedName>
    <definedName name="INPUT1" localSheetId="5">[3]Lista!#REF!</definedName>
    <definedName name="INPUT1" localSheetId="14">[3]Lista!#REF!</definedName>
    <definedName name="INPUT1">[3]Lista!#REF!</definedName>
    <definedName name="INPUT2" localSheetId="2">[3]Lista!#REF!</definedName>
    <definedName name="INPUT2" localSheetId="5">[3]Lista!#REF!</definedName>
    <definedName name="INPUT2" localSheetId="14">[3]Lista!#REF!</definedName>
    <definedName name="INPUT2">[3]Lista!#REF!</definedName>
    <definedName name="INPUT3" localSheetId="2">[3]Lista!#REF!</definedName>
    <definedName name="INPUT3" localSheetId="14">[3]Lista!#REF!</definedName>
    <definedName name="INPUT3">[3]Lista!#REF!</definedName>
    <definedName name="INPUT4" localSheetId="2">[3]Lista!#REF!</definedName>
    <definedName name="INPUT4" localSheetId="14">[3]Lista!#REF!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9">#REF!</definedName>
    <definedName name="interconexión" localSheetId="10">#REF!</definedName>
    <definedName name="interconexión" localSheetId="2">#REF!</definedName>
    <definedName name="interconexión" localSheetId="5">#REF!</definedName>
    <definedName name="interconexión" localSheetId="14">#REF!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9">#REF!</definedName>
    <definedName name="invext" localSheetId="10">#REF!</definedName>
    <definedName name="invext" localSheetId="2">#REF!</definedName>
    <definedName name="invext" localSheetId="5">#REF!</definedName>
    <definedName name="invext" localSheetId="14">#REF!</definedName>
    <definedName name="invext">#REF!</definedName>
    <definedName name="IPP" localSheetId="9">'[12]#¡REF'!#REF!</definedName>
    <definedName name="IPP" localSheetId="10">'[12]#¡REF'!#REF!</definedName>
    <definedName name="IPP" localSheetId="2">'[12]#¡REF'!#REF!</definedName>
    <definedName name="IPP" localSheetId="14">'[12]#¡REF'!#REF!</definedName>
    <definedName name="IPP">'[12]#¡REF'!#REF!</definedName>
    <definedName name="IRREGULAR">'[5]Dados de Ouvidoria'!$D$82:$P$93</definedName>
    <definedName name="ITER" localSheetId="9">#REF!</definedName>
    <definedName name="ITER" localSheetId="10">#REF!</definedName>
    <definedName name="ITER" localSheetId="2">#REF!</definedName>
    <definedName name="ITER" localSheetId="5">#REF!</definedName>
    <definedName name="ITER" localSheetId="14">#REF!</definedName>
    <definedName name="ITER">#REF!</definedName>
    <definedName name="ITER2" localSheetId="2">#REF!</definedName>
    <definedName name="ITER2" localSheetId="5">#REF!</definedName>
    <definedName name="ITER2" localSheetId="14">#REF!</definedName>
    <definedName name="ITER2">#REF!</definedName>
    <definedName name="Janeiro">[5]DadosSeguranc!$E$140:$AB$179</definedName>
    <definedName name="JUL" localSheetId="9">#REF!</definedName>
    <definedName name="JUL" localSheetId="10">#REF!</definedName>
    <definedName name="JUL" localSheetId="2">#REF!</definedName>
    <definedName name="JUL" localSheetId="5">#REF!</definedName>
    <definedName name="JUL" localSheetId="14">#REF!</definedName>
    <definedName name="JUL">#REF!</definedName>
    <definedName name="k" localSheetId="2">#REF!</definedName>
    <definedName name="k" localSheetId="5">#REF!</definedName>
    <definedName name="k" localSheetId="14">#REF!</definedName>
    <definedName name="k">#REF!</definedName>
    <definedName name="KDJFKD" localSheetId="9" hidden="1">{"'EST.RDOS(INT)'!$A$5:$E$58"}</definedName>
    <definedName name="KDJFKD" localSheetId="10" hidden="1">{"'EST.RDOS(INT)'!$A$5:$E$58"}</definedName>
    <definedName name="KDJFKD" localSheetId="2" hidden="1">{"'EST.RDOS(INT)'!$A$5:$E$58"}</definedName>
    <definedName name="KDJFKD" localSheetId="5" hidden="1">{"'EST.RDOS(INT)'!$A$5:$E$58"}</definedName>
    <definedName name="KDJFKD" localSheetId="14"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9">#REF!</definedName>
    <definedName name="LETRA" localSheetId="10">#REF!</definedName>
    <definedName name="LETRA" localSheetId="2">#REF!</definedName>
    <definedName name="LETRA" localSheetId="5">#REF!</definedName>
    <definedName name="LETRA" localSheetId="14">#REF!</definedName>
    <definedName name="LETRA">#REF!</definedName>
    <definedName name="LETRAS" localSheetId="2">#REF!</definedName>
    <definedName name="LETRAS" localSheetId="5">#REF!</definedName>
    <definedName name="LETRAS" localSheetId="14">#REF!</definedName>
    <definedName name="LETRAS">#REF!</definedName>
    <definedName name="LEVE">[5]DadosSeguranc!$G$406:$R$411</definedName>
    <definedName name="libo1" localSheetId="9">#REF!</definedName>
    <definedName name="libo1" localSheetId="10">#REF!</definedName>
    <definedName name="libo1" localSheetId="2">#REF!</definedName>
    <definedName name="libo1" localSheetId="5">#REF!</definedName>
    <definedName name="libo1" localSheetId="14">#REF!</definedName>
    <definedName name="libo1">#REF!</definedName>
    <definedName name="libor" localSheetId="2">#REF!</definedName>
    <definedName name="libor" localSheetId="5">#REF!</definedName>
    <definedName name="libor" localSheetId="14">#REF!</definedName>
    <definedName name="libor">#REF!</definedName>
    <definedName name="LIGINF">[5]Dados_Perdas!$C$64:$O$75</definedName>
    <definedName name="LOJAS">'[5]Dados das Lojas'!$D$2:$P$91</definedName>
    <definedName name="luzma" localSheetId="9" hidden="1">{"'EST.RDOS(INT)'!$A$5:$E$58"}</definedName>
    <definedName name="luzma" localSheetId="10" hidden="1">{"'EST.RDOS(INT)'!$A$5:$E$58"}</definedName>
    <definedName name="luzma" localSheetId="2" hidden="1">{"'EST.RDOS(INT)'!$A$5:$E$58"}</definedName>
    <definedName name="luzma" localSheetId="5" hidden="1">{"'EST.RDOS(INT)'!$A$5:$E$58"}</definedName>
    <definedName name="luzma" localSheetId="14" hidden="1">{"'EST.RDOS(INT)'!$A$5:$E$58"}</definedName>
    <definedName name="luzma" hidden="1">{"'EST.RDOS(INT)'!$A$5:$E$58"}</definedName>
    <definedName name="MACRO">#REF!</definedName>
    <definedName name="MAIN">#REF!</definedName>
    <definedName name="MANO">'[5]Dados DEC e FEC'!$G$160:$H$223</definedName>
    <definedName name="MAR" localSheetId="9">#REF!</definedName>
    <definedName name="MAR" localSheetId="10">#REF!</definedName>
    <definedName name="MAR" localSheetId="2">#REF!</definedName>
    <definedName name="MAR" localSheetId="5">#REF!</definedName>
    <definedName name="MAR" localSheetId="14">#REF!</definedName>
    <definedName name="MAR">#REF!</definedName>
    <definedName name="MARGENOPEMEM">'[4]PyG Año 00-01-02'!$A$336</definedName>
    <definedName name="MATERIAL" localSheetId="9">#REF!</definedName>
    <definedName name="MATERIAL" localSheetId="10">#REF!</definedName>
    <definedName name="MATERIAL" localSheetId="2">#REF!</definedName>
    <definedName name="MATERIAL" localSheetId="5">#REF!</definedName>
    <definedName name="MATERIAL" localSheetId="14">#REF!</definedName>
    <definedName name="MATERIAL">#REF!</definedName>
    <definedName name="Max_Cod">[8]Postes!$J$1</definedName>
    <definedName name="mayo" localSheetId="9">#REF!</definedName>
    <definedName name="mayo" localSheetId="10">#REF!</definedName>
    <definedName name="mayo" localSheetId="2">#REF!</definedName>
    <definedName name="mayo" localSheetId="5">#REF!</definedName>
    <definedName name="mayo" localSheetId="14">#REF!</definedName>
    <definedName name="mayo">#REF!</definedName>
    <definedName name="ME" localSheetId="2">#REF!</definedName>
    <definedName name="ME" localSheetId="5">#REF!</definedName>
    <definedName name="ME" localSheetId="14">#REF!</definedName>
    <definedName name="ME">#REF!</definedName>
    <definedName name="MEM" localSheetId="2">#REF!</definedName>
    <definedName name="MEM" localSheetId="5">#REF!</definedName>
    <definedName name="MEM" localSheetId="14">#REF!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9" hidden="1">{"'EST.RDOS(INT)'!$A$5:$E$58"}</definedName>
    <definedName name="mgm" localSheetId="10" hidden="1">{"'EST.RDOS(INT)'!$A$5:$E$58"}</definedName>
    <definedName name="mgm" localSheetId="2" hidden="1">{"'EST.RDOS(INT)'!$A$5:$E$58"}</definedName>
    <definedName name="mgm" localSheetId="5" hidden="1">{"'EST.RDOS(INT)'!$A$5:$E$58"}</definedName>
    <definedName name="mgm" localSheetId="14"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9">#REF!</definedName>
    <definedName name="nombrehoja" localSheetId="10">#REF!</definedName>
    <definedName name="nombrehoja" localSheetId="2">#REF!</definedName>
    <definedName name="nombrehoja" localSheetId="5">#REF!</definedName>
    <definedName name="nombrehoja" localSheetId="14">#REF!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9">#REF!</definedName>
    <definedName name="NUEVO" localSheetId="10">#REF!</definedName>
    <definedName name="NUEVO" localSheetId="2">#REF!</definedName>
    <definedName name="NUEVO" localSheetId="5">#REF!</definedName>
    <definedName name="NUEVO" localSheetId="14">#REF!</definedName>
    <definedName name="NUEVO">#REF!</definedName>
    <definedName name="Nuevo_Financiamiento">'[12]#¡REF'!$B$59</definedName>
    <definedName name="nUnidad" localSheetId="9">[21]Datos!#REF!</definedName>
    <definedName name="nUnidad" localSheetId="10">[21]Datos!#REF!</definedName>
    <definedName name="nUnidad" localSheetId="2">[22]Datos!#REF!</definedName>
    <definedName name="nUnidad" localSheetId="14">[21]Datos!#REF!</definedName>
    <definedName name="nUnidad">[21]Datos!#REF!</definedName>
    <definedName name="ññ" localSheetId="9" hidden="1">{"'EST.RDOS(INT)'!$A$5:$E$58"}</definedName>
    <definedName name="ññ" localSheetId="10" hidden="1">{"'EST.RDOS(INT)'!$A$5:$E$58"}</definedName>
    <definedName name="ññ" localSheetId="2" hidden="1">{"'EST.RDOS(INT)'!$A$5:$E$58"}</definedName>
    <definedName name="ññ" localSheetId="5" hidden="1">{"'EST.RDOS(INT)'!$A$5:$E$58"}</definedName>
    <definedName name="ññ" localSheetId="14"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9">#REF!</definedName>
    <definedName name="Otros_gastos_generales" localSheetId="10">#REF!</definedName>
    <definedName name="Otros_gastos_generales" localSheetId="2">#REF!</definedName>
    <definedName name="Otros_gastos_generales" localSheetId="5">#REF!</definedName>
    <definedName name="Otros_gastos_generales" localSheetId="14">#REF!</definedName>
    <definedName name="Otros_gastos_generales">#REF!</definedName>
    <definedName name="otroslp" localSheetId="2">#REF!</definedName>
    <definedName name="otroslp" localSheetId="5">#REF!</definedName>
    <definedName name="otroslp" localSheetId="14">#REF!</definedName>
    <definedName name="otroslp">#REF!</definedName>
    <definedName name="OUTPUT" localSheetId="2">#REF!</definedName>
    <definedName name="OUTPUT" localSheetId="5">#REF!</definedName>
    <definedName name="OUTPUT" localSheetId="14">#REF!</definedName>
    <definedName name="OUTPUT">#REF!</definedName>
    <definedName name="OUTPUTE">#REF!</definedName>
    <definedName name="OUTPUTPR">#REF!</definedName>
    <definedName name="OUTRAS">#REF!</definedName>
    <definedName name="OUTROSKPIS">[5]Dados_Perdas!$C$117:$O$140</definedName>
    <definedName name="P_23" localSheetId="9">#REF!</definedName>
    <definedName name="P_23" localSheetId="10">#REF!</definedName>
    <definedName name="P_23" localSheetId="2">#REF!</definedName>
    <definedName name="P_23" localSheetId="5">#REF!</definedName>
    <definedName name="P_23" localSheetId="14">#REF!</definedName>
    <definedName name="P_23">#REF!</definedName>
    <definedName name="P_35" localSheetId="2">#REF!</definedName>
    <definedName name="P_35" localSheetId="5">#REF!</definedName>
    <definedName name="P_35" localSheetId="14">#REF!</definedName>
    <definedName name="P_35">#REF!</definedName>
    <definedName name="P_36" localSheetId="2">#REF!</definedName>
    <definedName name="P_36" localSheetId="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9">#REF!</definedName>
    <definedName name="PICA" localSheetId="10">#REF!</definedName>
    <definedName name="PICA" localSheetId="2">#REF!</definedName>
    <definedName name="PICA" localSheetId="5">#REF!</definedName>
    <definedName name="PICA" localSheetId="14">#REF!</definedName>
    <definedName name="PICA">#REF!</definedName>
    <definedName name="PICA1" localSheetId="2">#REF!</definedName>
    <definedName name="PICA1" localSheetId="5">#REF!</definedName>
    <definedName name="PICA1" localSheetId="14">#REF!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9">#REF!</definedName>
    <definedName name="PORDIV" localSheetId="10">#REF!</definedName>
    <definedName name="PORDIV" localSheetId="2">#REF!</definedName>
    <definedName name="PORDIV" localSheetId="5">#REF!</definedName>
    <definedName name="PORDIV" localSheetId="14">#REF!</definedName>
    <definedName name="PORDIV">#REF!</definedName>
    <definedName name="PPPP" localSheetId="2">#REF!</definedName>
    <definedName name="PPPP" localSheetId="5">#REF!</definedName>
    <definedName name="PPPP" localSheetId="14">#REF!</definedName>
    <definedName name="PPPP">#REF!</definedName>
    <definedName name="PR_AC">'[6]Dados Segurança'!$B$60:$I$64</definedName>
    <definedName name="PR_LM">'[6]Dados Segurança'!$B$53:$I$57</definedName>
    <definedName name="Prepago_Deuda">'[12]#¡REF'!$B$8</definedName>
    <definedName name="PREST" localSheetId="9">#REF!</definedName>
    <definedName name="PREST" localSheetId="10">#REF!</definedName>
    <definedName name="PREST" localSheetId="2">#REF!</definedName>
    <definedName name="PREST" localSheetId="5">#REF!</definedName>
    <definedName name="PREST" localSheetId="14">#REF!</definedName>
    <definedName name="PREST">#REF!</definedName>
    <definedName name="PRESTTOT" localSheetId="2">#REF!</definedName>
    <definedName name="PRESTTOT" localSheetId="5">#REF!</definedName>
    <definedName name="PRESTTOT" localSheetId="14">#REF!</definedName>
    <definedName name="PRESTTOT">#REF!</definedName>
    <definedName name="Prima_o_subsidio_de_alimentación" localSheetId="2">#REF!</definedName>
    <definedName name="Prima_o_subsidio_de_alimentación" localSheetId="5">#REF!</definedName>
    <definedName name="Prima_o_subsidio_de_alimentación" localSheetId="14">#REF!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9">#REF!</definedName>
    <definedName name="prospfyu" localSheetId="10">#REF!</definedName>
    <definedName name="prospfyu" localSheetId="2">#REF!</definedName>
    <definedName name="prospfyu" localSheetId="5">#REF!</definedName>
    <definedName name="prospfyu" localSheetId="14">#REF!</definedName>
    <definedName name="prospfyu">#REF!</definedName>
    <definedName name="prospindic" localSheetId="2">#REF!</definedName>
    <definedName name="prospindic" localSheetId="5">#REF!</definedName>
    <definedName name="prospindic" localSheetId="14">#REF!</definedName>
    <definedName name="prospindic">#REF!</definedName>
    <definedName name="Provisiones">'[12]#¡REF'!$B$18</definedName>
    <definedName name="PROYC" localSheetId="9">#REF!</definedName>
    <definedName name="PROYC" localSheetId="10">#REF!</definedName>
    <definedName name="PROYC" localSheetId="2">#REF!</definedName>
    <definedName name="PROYC" localSheetId="5">#REF!</definedName>
    <definedName name="PROYC" localSheetId="14">#REF!</definedName>
    <definedName name="PROYC">#REF!</definedName>
    <definedName name="PUBLICO">'[6]Dados Segurança'!$B$80:$I$82</definedName>
    <definedName name="q" localSheetId="9">[24]Hoja1!#REF!</definedName>
    <definedName name="q" localSheetId="10">[24]Hoja1!#REF!</definedName>
    <definedName name="q" localSheetId="2">[25]Hoja1!#REF!</definedName>
    <definedName name="q" localSheetId="14">[24]Hoja1!#REF!</definedName>
    <definedName name="q">[24]Hoja1!#REF!</definedName>
    <definedName name="qq" localSheetId="9" hidden="1">#REF!</definedName>
    <definedName name="qq" localSheetId="10" hidden="1">#REF!</definedName>
    <definedName name="qq" localSheetId="2" hidden="1">#REF!</definedName>
    <definedName name="qq" localSheetId="5" hidden="1">#REF!</definedName>
    <definedName name="qq" localSheetId="14" hidden="1">#REF!</definedName>
    <definedName name="qq" hidden="1">#REF!</definedName>
    <definedName name="qryActivs_USDxUnidadesConstructivas" localSheetId="2">#REF!</definedName>
    <definedName name="qryActivs_USDxUnidadesConstructivas" localSheetId="5">#REF!</definedName>
    <definedName name="qryActivs_USDxUnidadesConstructivas" localSheetId="14">#REF!</definedName>
    <definedName name="qryActivs_USDxUnidadesConstructivas">#REF!</definedName>
    <definedName name="qryVentasxOficina" localSheetId="2">#REF!</definedName>
    <definedName name="qryVentasxOficina" localSheetId="5">#REF!</definedName>
    <definedName name="qryVentasxOficina" localSheetId="14">#REF!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9">'[12]#¡REF'!#REF!</definedName>
    <definedName name="RELACION_GASTOS_A.O.M" localSheetId="10">'[12]#¡REF'!#REF!</definedName>
    <definedName name="RELACION_GASTOS_A.O.M">'[12]#¡REF'!#REF!</definedName>
    <definedName name="RELACION_GASTOS_A.O.M___STE">'[12]#¡REF'!$B$34</definedName>
    <definedName name="RELACION_GASTOS_A.O.M_TOTAL" localSheetId="9">'[12]#¡REF'!#REF!</definedName>
    <definedName name="RELACION_GASTOS_A.O.M_TOTAL" localSheetId="10">'[12]#¡REF'!#REF!</definedName>
    <definedName name="RELACION_GASTOS_A.O.M_TOTAL">'[12]#¡REF'!#REF!</definedName>
    <definedName name="remuneracicndmem">'[4]aom reg'!$B$23</definedName>
    <definedName name="ren" localSheetId="9">#REF!</definedName>
    <definedName name="ren" localSheetId="10">#REF!</definedName>
    <definedName name="ren" localSheetId="2">#REF!</definedName>
    <definedName name="ren" localSheetId="5">#REF!</definedName>
    <definedName name="ren" localSheetId="14">#REF!</definedName>
    <definedName name="ren">#REF!</definedName>
    <definedName name="rent" localSheetId="2">#REF!</definedName>
    <definedName name="rent" localSheetId="5">#REF!</definedName>
    <definedName name="rent" localSheetId="14">#REF!</definedName>
    <definedName name="rent">#REF!</definedName>
    <definedName name="rentafactores" localSheetId="2">#REF!</definedName>
    <definedName name="rentafactores" localSheetId="5">#REF!</definedName>
    <definedName name="rentafactores" localSheetId="14">#REF!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9">#REF!</definedName>
    <definedName name="REPDIV" localSheetId="10">#REF!</definedName>
    <definedName name="REPDIV" localSheetId="2">#REF!</definedName>
    <definedName name="REPDIV" localSheetId="5">#REF!</definedName>
    <definedName name="REPDIV" localSheetId="14">#REF!</definedName>
    <definedName name="REPDIV">#REF!</definedName>
    <definedName name="REPOCALC" localSheetId="2">#REF!</definedName>
    <definedName name="REPOCALC" localSheetId="5">#REF!</definedName>
    <definedName name="REPOCALC" localSheetId="14">#REF!</definedName>
    <definedName name="REPOCALC">#REF!</definedName>
    <definedName name="REPOPRO" localSheetId="2">#REF!</definedName>
    <definedName name="REPOPRO" localSheetId="5">#REF!</definedName>
    <definedName name="REPOPRO" localSheetId="14">#REF!</definedName>
    <definedName name="REPOPRO">#REF!</definedName>
    <definedName name="REPSUB">#REF!</definedName>
    <definedName name="requeri_de_efecti">'[15]graf indi'!$J$73</definedName>
    <definedName name="RESBCE" localSheetId="9">#REF!</definedName>
    <definedName name="RESBCE" localSheetId="10">#REF!</definedName>
    <definedName name="RESBCE" localSheetId="2">#REF!</definedName>
    <definedName name="RESBCE" localSheetId="5">#REF!</definedName>
    <definedName name="RESBCE" localSheetId="14">#REF!</definedName>
    <definedName name="RESBCE">#REF!</definedName>
    <definedName name="RESFYU" localSheetId="2">#REF!</definedName>
    <definedName name="RESFYU" localSheetId="5">#REF!</definedName>
    <definedName name="RESFYU" localSheetId="14">#REF!</definedName>
    <definedName name="RESFYU">#REF!</definedName>
    <definedName name="RESPYG" localSheetId="2">#REF!</definedName>
    <definedName name="RESPYG" localSheetId="5">#REF!</definedName>
    <definedName name="RESPYG" localSheetId="14">#REF!</definedName>
    <definedName name="RESPYG">#REF!</definedName>
    <definedName name="RESREL">#REF!</definedName>
    <definedName name="Resultado_no_operacional">'[12]#¡REF'!$B$25</definedName>
    <definedName name="Resumen" localSheetId="9" hidden="1">#REF!</definedName>
    <definedName name="Resumen" localSheetId="10" hidden="1">#REF!</definedName>
    <definedName name="Resumen" localSheetId="2" hidden="1">#REF!</definedName>
    <definedName name="Resumen" localSheetId="5" hidden="1">#REF!</definedName>
    <definedName name="Resumen" localSheetId="14" hidden="1">#REF!</definedName>
    <definedName name="Resumen" hidden="1">#REF!</definedName>
    <definedName name="Resumen_por_Gerencia" localSheetId="2">#REF!</definedName>
    <definedName name="Resumen_por_Gerencia" localSheetId="5">#REF!</definedName>
    <definedName name="Resumen_por_Gerencia" localSheetId="14">#REF!</definedName>
    <definedName name="Resumen_por_Gerencia">#REF!</definedName>
    <definedName name="Resumen_PyG" localSheetId="2">#REF!</definedName>
    <definedName name="Resumen_PyG" localSheetId="5">#REF!</definedName>
    <definedName name="Resumen_PyG" localSheetId="14">#REF!</definedName>
    <definedName name="Resumen_PyG">#REF!</definedName>
    <definedName name="Resumen_Total">#REF!</definedName>
    <definedName name="RESUMO" localSheetId="2">'[27]NGs. BANCO DADOS'!#REF!</definedName>
    <definedName name="RESUMO">'[28]NGs. BANCO DADOS'!#REF!</definedName>
    <definedName name="RESUMO_GERAL" localSheetId="9">#REF!</definedName>
    <definedName name="RESUMO_GERAL" localSheetId="10">#REF!</definedName>
    <definedName name="RESUMO_GERAL" localSheetId="2">#REF!</definedName>
    <definedName name="RESUMO_GERAL" localSheetId="5">#REF!</definedName>
    <definedName name="RESUMO_GERAL" localSheetId="14">#REF!</definedName>
    <definedName name="RESUMO_GERAL">#REF!</definedName>
    <definedName name="Retroativa">'[6]Dados Perdas RAA'!$A$9:$N$15</definedName>
    <definedName name="Retroativa_Meta">'[6]Dados Perdas RAA'!$A$87:$N$93</definedName>
    <definedName name="RFP" localSheetId="9">#REF!</definedName>
    <definedName name="RFP" localSheetId="10">#REF!</definedName>
    <definedName name="RFP" localSheetId="2">#REF!</definedName>
    <definedName name="RFP" localSheetId="5">#REF!</definedName>
    <definedName name="RFP" localSheetId="14">#REF!</definedName>
    <definedName name="RFP">#REF!</definedName>
    <definedName name="RFPC" localSheetId="2">#REF!</definedName>
    <definedName name="RFPC" localSheetId="5">#REF!</definedName>
    <definedName name="RFPC" localSheetId="14">#REF!</definedName>
    <definedName name="RFPC">#REF!</definedName>
    <definedName name="RFTITLE" localSheetId="2">#REF!</definedName>
    <definedName name="RFTITLE" localSheetId="5">#REF!</definedName>
    <definedName name="RFTITLE" localSheetId="14">#REF!</definedName>
    <definedName name="RFTITLE">#REF!</definedName>
    <definedName name="RTRETERTERTERTERT">#REF!</definedName>
    <definedName name="RU">'[6]Indicadores Associados (2)'!$C$19:$P$46</definedName>
    <definedName name="Saldo">'[12]#¡REF'!$B$9</definedName>
    <definedName name="Saldo_Bloqueado_Ano" localSheetId="9">[29]Dados_Saldo_Bloq!#REF!</definedName>
    <definedName name="Saldo_Bloqueado_Ano" localSheetId="10">[29]Dados_Saldo_Bloq!#REF!</definedName>
    <definedName name="Saldo_Bloqueado_Ano">[29]Dados_Saldo_Bloq!#REF!</definedName>
    <definedName name="Saldo_Bloqueado_Bloqueado_Contas" localSheetId="9">[29]Dados_Saldo_Bloq!#REF!</definedName>
    <definedName name="Saldo_Bloqueado_Bloqueado_Contas" localSheetId="10">[29]Dados_Saldo_Bloq!#REF!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9">#REF!</definedName>
    <definedName name="saldodeuda" localSheetId="10">#REF!</definedName>
    <definedName name="saldodeuda" localSheetId="2">#REF!</definedName>
    <definedName name="saldodeuda" localSheetId="5">#REF!</definedName>
    <definedName name="saldodeuda" localSheetId="14">#REF!</definedName>
    <definedName name="saldodeuda">#REF!</definedName>
    <definedName name="sasasas" localSheetId="2">#REF!</definedName>
    <definedName name="sasasas" localSheetId="5">#REF!</definedName>
    <definedName name="sasasas" localSheetId="14">#REF!</definedName>
    <definedName name="sasasas">#REF!</definedName>
    <definedName name="SCREEN" localSheetId="2">#REF!</definedName>
    <definedName name="SCREEN" localSheetId="5">#REF!</definedName>
    <definedName name="SCREEN" localSheetId="14">#REF!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9">#REF!</definedName>
    <definedName name="SEGUROS_GG" localSheetId="10">#REF!</definedName>
    <definedName name="SEGUROS_GG" localSheetId="2">#REF!</definedName>
    <definedName name="SEGUROS_GG" localSheetId="5">#REF!</definedName>
    <definedName name="SEGUROS_GG" localSheetId="14">#REF!</definedName>
    <definedName name="SEGUROS_GG">#REF!</definedName>
    <definedName name="sensibilidad_deval">'[10]#¡REF'!$C$67:$S$75</definedName>
    <definedName name="sensibilidad_ipc">'[10]#¡REF'!$C$67:$L$71</definedName>
    <definedName name="SENSIBILIDADES" localSheetId="9">#REF!</definedName>
    <definedName name="SENSIBILIDADES" localSheetId="10">#REF!</definedName>
    <definedName name="SENSIBILIDADES" localSheetId="2">#REF!</definedName>
    <definedName name="SENSIBILIDADES" localSheetId="5">#REF!</definedName>
    <definedName name="SENSIBILIDADES" localSheetId="14">#REF!</definedName>
    <definedName name="SENSIBILIDADES">#REF!</definedName>
    <definedName name="Servicio_de_la_Deuda">'[12]#¡REF'!$B$55</definedName>
    <definedName name="SERVICIOS_PERSONALES" localSheetId="9">#REF!</definedName>
    <definedName name="SERVICIOS_PERSONALES" localSheetId="10">#REF!</definedName>
    <definedName name="SERVICIOS_PERSONALES" localSheetId="2">#REF!</definedName>
    <definedName name="SERVICIOS_PERSONALES" localSheetId="5">#REF!</definedName>
    <definedName name="SERVICIOS_PERSONALES" localSheetId="14">#REF!</definedName>
    <definedName name="SERVICIOS_PERSONALES">#REF!</definedName>
    <definedName name="SERVIÇOS" localSheetId="2">#REF!</definedName>
    <definedName name="SERVIÇOS" localSheetId="5">#REF!</definedName>
    <definedName name="SERVIÇOS" localSheetId="14">#REF!</definedName>
    <definedName name="SERVIÇOS">#REF!</definedName>
    <definedName name="SGRAL" localSheetId="2">#REF!</definedName>
    <definedName name="SGRAL" localSheetId="5">#REF!</definedName>
    <definedName name="SGRAL" localSheetId="14">#REF!</definedName>
    <definedName name="SGRAL">#REF!</definedName>
    <definedName name="SHARED_FORMULA_0">#N/A</definedName>
    <definedName name="SHARED_FORMULA_1">#N/A</definedName>
    <definedName name="SHARED_FORMULA_2">#N/A</definedName>
    <definedName name="SheetName" localSheetId="9">#REF!</definedName>
    <definedName name="SheetName" localSheetId="10">#REF!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9">#REF!</definedName>
    <definedName name="Sueldos_del__Personal" localSheetId="10">#REF!</definedName>
    <definedName name="Sueldos_del__Personal" localSheetId="2">#REF!</definedName>
    <definedName name="Sueldos_del__Personal" localSheetId="5">#REF!</definedName>
    <definedName name="Sueldos_del__Personal" localSheetId="14">#REF!</definedName>
    <definedName name="Sueldos_del__Personal">#REF!</definedName>
    <definedName name="supexpo" localSheetId="2">#REF!</definedName>
    <definedName name="supexpo" localSheetId="5">#REF!</definedName>
    <definedName name="supexpo" localSheetId="14">#REF!</definedName>
    <definedName name="supexpo">#REF!</definedName>
    <definedName name="supimpo" localSheetId="2">#REF!</definedName>
    <definedName name="supimpo" localSheetId="5">#REF!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9">#REF!</definedName>
    <definedName name="TABLE" localSheetId="10">#REF!</definedName>
    <definedName name="TABLE" localSheetId="2">#REF!</definedName>
    <definedName name="TABLE" localSheetId="5">#REF!</definedName>
    <definedName name="TABLE" localSheetId="14">#REF!</definedName>
    <definedName name="TABLE">#REF!</definedName>
    <definedName name="TABLE_2" localSheetId="2">#REF!</definedName>
    <definedName name="TABLE_2" localSheetId="5">#REF!</definedName>
    <definedName name="TABLE_2" localSheetId="14">#REF!</definedName>
    <definedName name="TABLE_2">#REF!</definedName>
    <definedName name="TARIFAS" localSheetId="2">#REF!</definedName>
    <definedName name="TARIFAS" localSheetId="5">#REF!</definedName>
    <definedName name="TARIFAS" localSheetId="14">#REF!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9">#REF!</definedName>
    <definedName name="TELEC" localSheetId="10">#REF!</definedName>
    <definedName name="TELEC" localSheetId="2">#REF!</definedName>
    <definedName name="TELEC" localSheetId="5">#REF!</definedName>
    <definedName name="TELEC" localSheetId="14">#REF!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9">#REF!</definedName>
    <definedName name="TEMPORAL" localSheetId="10">#REF!</definedName>
    <definedName name="TEMPORAL" localSheetId="2">#REF!</definedName>
    <definedName name="TEMPORAL" localSheetId="5">#REF!</definedName>
    <definedName name="TEMPORAL" localSheetId="14">#REF!</definedName>
    <definedName name="TEMPORAL">#REF!</definedName>
    <definedName name="Ter_Pedidos_04">'[6]2º 3º pedidos'!$D$52:$P$58</definedName>
    <definedName name="Ter_Pedidos_05">'[6]2º 3º pedidos'!$D$61:$P$67</definedName>
    <definedName name="TERCER_PLAN_DE_TRANSMISION" localSheetId="9">#REF!</definedName>
    <definedName name="TERCER_PLAN_DE_TRANSMISION" localSheetId="10">#REF!</definedName>
    <definedName name="TERCER_PLAN_DE_TRANSMISION" localSheetId="2">#REF!</definedName>
    <definedName name="TERCER_PLAN_DE_TRANSMISION" localSheetId="5">#REF!</definedName>
    <definedName name="TERCER_PLAN_DE_TRANSMISION" localSheetId="14">#REF!</definedName>
    <definedName name="TERCER_PLAN_DE_TRANSMISION">#REF!</definedName>
    <definedName name="TERCPED">'[5]Dados Call Center'!$S$2:$AE$19</definedName>
    <definedName name="TEST0" localSheetId="9">#REF!</definedName>
    <definedName name="TEST0" localSheetId="10">#REF!</definedName>
    <definedName name="TEST0" localSheetId="2">#REF!</definedName>
    <definedName name="TEST0" localSheetId="5">#REF!</definedName>
    <definedName name="TEST0" localSheetId="14">#REF!</definedName>
    <definedName name="TEST0">#REF!</definedName>
    <definedName name="TEST1" localSheetId="2">#REF!</definedName>
    <definedName name="TEST1" localSheetId="5">#REF!</definedName>
    <definedName name="TEST1" localSheetId="14">#REF!</definedName>
    <definedName name="TEST1">#REF!</definedName>
    <definedName name="TEST2" localSheetId="2">#REF!</definedName>
    <definedName name="TEST2" localSheetId="5">#REF!</definedName>
    <definedName name="TEST2" localSheetId="14">#REF!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9">#REF!</definedName>
    <definedName name="TIME1" localSheetId="10">#REF!</definedName>
    <definedName name="TIME1" localSheetId="2">#REF!</definedName>
    <definedName name="TIME1" localSheetId="5">#REF!</definedName>
    <definedName name="TIME1" localSheetId="14">#REF!</definedName>
    <definedName name="TIME1">#REF!</definedName>
    <definedName name="TIME2" localSheetId="2">#REF!</definedName>
    <definedName name="TIME2" localSheetId="5">#REF!</definedName>
    <definedName name="TIME2" localSheetId="14">#REF!</definedName>
    <definedName name="TIME2">#REF!</definedName>
    <definedName name="TMA">'[5]Dados DEC e FEC'!$D$247:$Q$258</definedName>
    <definedName name="TME">'[5]Dados Ind Com'!$D$16:$P$39</definedName>
    <definedName name="TME_GERAL" localSheetId="9">#REF!</definedName>
    <definedName name="TME_GERAL" localSheetId="10">#REF!</definedName>
    <definedName name="TME_GERAL" localSheetId="2">#REF!</definedName>
    <definedName name="TME_GERAL" localSheetId="5">#REF!</definedName>
    <definedName name="TME_GERAL" localSheetId="14">#REF!</definedName>
    <definedName name="TME_GERAL">#REF!</definedName>
    <definedName name="TME_MEDIA" localSheetId="2">#REF!</definedName>
    <definedName name="TME_MEDIA" localSheetId="5">#REF!</definedName>
    <definedName name="TME_MEDIA" localSheetId="14">#REF!</definedName>
    <definedName name="TME_MEDIA">#REF!</definedName>
    <definedName name="TME_NEG" localSheetId="2">#REF!</definedName>
    <definedName name="TME_NEG" localSheetId="5">#REF!</definedName>
    <definedName name="TME_NEG" localSheetId="14">#REF!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9">#REF!</definedName>
    <definedName name="TOTAL_ISA" localSheetId="10">#REF!</definedName>
    <definedName name="TOTAL_ISA" localSheetId="2">#REF!</definedName>
    <definedName name="TOTAL_ISA" localSheetId="5">#REF!</definedName>
    <definedName name="TOTAL_ISA" localSheetId="14">#REF!</definedName>
    <definedName name="TOTAL_ISA">#REF!</definedName>
    <definedName name="TOTAL_RECLAM">'[6]Dados Faturamento'!$C$51:$N$57</definedName>
    <definedName name="TOTAL_REFAT">'[6]Dados Faturamento'!$C$31:$N$37</definedName>
    <definedName name="Totales" localSheetId="9">#REF!,#REF!,#REF!,#REF!,#REF!,#REF!,#REF!,#REF!,#REF!,#REF!,#REF!,#REF!,#REF!,#REF!,#REF!,#REF!,#REF!,#REF!,#REF!,#REF!,#REF!,#REF!,#REF!,#REF!,#REF!,#REF!,#REF!,#REF!,#REF!,#REF!,#REF!,#REF!,#REF!,#REF!,#REF!,#REF!</definedName>
    <definedName name="Totales" localSheetId="10">#REF!,#REF!,#REF!,#REF!,#REF!,#REF!,#REF!,#REF!,#REF!,#REF!,#REF!,#REF!,#REF!,#REF!,#REF!,#REF!,#REF!,#REF!,#REF!,#REF!,#REF!,#REF!,#REF!,#REF!,#REF!,#REF!,#REF!,#REF!,#REF!,#REF!,#REF!,#REF!,#REF!,#REF!,#REF!,#REF!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9">#REF!</definedName>
    <definedName name="transferencias" localSheetId="10">#REF!</definedName>
    <definedName name="transferencias" localSheetId="2">#REF!</definedName>
    <definedName name="transferencias" localSheetId="5">#REF!</definedName>
    <definedName name="transferencias" localSheetId="14">#REF!</definedName>
    <definedName name="transferencias">#REF!</definedName>
    <definedName name="TSFR2" localSheetId="2">#REF!</definedName>
    <definedName name="TSFR2" localSheetId="14">#REF!</definedName>
    <definedName name="TSFR2">#REF!</definedName>
    <definedName name="TSFR3" localSheetId="2">#REF!</definedName>
    <definedName name="TSFR3" localSheetId="14">#REF!</definedName>
    <definedName name="TSFR3">#REF!</definedName>
    <definedName name="TTE">#REF!</definedName>
    <definedName name="TXARREC">'[5]Dados Inadimplência'!$C$75:$N$92</definedName>
    <definedName name="TXARRECMETA">'[6]Dados Inadimplência'!$V$67:$AH$73</definedName>
    <definedName name="Unidad" localSheetId="9">[21]Datos!#REF!</definedName>
    <definedName name="Unidad" localSheetId="10">[21]Datos!#REF!</definedName>
    <definedName name="Unidad" localSheetId="2">[22]Datos!#REF!</definedName>
    <definedName name="Unidad" localSheetId="14">[21]Datos!#REF!</definedName>
    <definedName name="Unidad">[21]Datos!#REF!</definedName>
    <definedName name="Unidade">'[8]Cadastro Trafos'!$W$3:$W$8</definedName>
    <definedName name="UNO" localSheetId="9">#REF!</definedName>
    <definedName name="UNO" localSheetId="10">#REF!</definedName>
    <definedName name="UNO" localSheetId="2">#REF!</definedName>
    <definedName name="UNO" localSheetId="5">#REF!</definedName>
    <definedName name="UNO" localSheetId="14">#REF!</definedName>
    <definedName name="UNO">#REF!</definedName>
    <definedName name="UPS" localSheetId="9">'[17]Dados Work'!#REF!</definedName>
    <definedName name="UPS" localSheetId="10">'[17]Dados Work'!#REF!</definedName>
    <definedName name="UPS" localSheetId="2">'[17]Dados Work'!#REF!</definedName>
    <definedName name="UPS" localSheetId="14">'[17]Dados Work'!#REF!</definedName>
    <definedName name="UPS">'[17]Dados Work'!#REF!</definedName>
    <definedName name="UPSOPER07" localSheetId="9">#REF!</definedName>
    <definedName name="UPSOPER07" localSheetId="10">#REF!</definedName>
    <definedName name="UPSOPER07" localSheetId="2">#REF!</definedName>
    <definedName name="UPSOPER07" localSheetId="5">#REF!</definedName>
    <definedName name="UPSOPER07" localSheetId="14">#REF!</definedName>
    <definedName name="UPSOPER07">#REF!</definedName>
    <definedName name="UPSPERD07" localSheetId="2">#REF!</definedName>
    <definedName name="UPSPERD07" localSheetId="5">#REF!</definedName>
    <definedName name="UPSPERD07" localSheetId="14">#REF!</definedName>
    <definedName name="UPSPERD07">#REF!</definedName>
    <definedName name="UPSSUB07" localSheetId="2">#REF!</definedName>
    <definedName name="UPSSUB07" localSheetId="5">#REF!</definedName>
    <definedName name="UPSSUB07" localSheetId="14">#REF!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9">#REF!</definedName>
    <definedName name="v" localSheetId="10">#REF!</definedName>
    <definedName name="v" localSheetId="2">#REF!</definedName>
    <definedName name="v" localSheetId="5">#REF!</definedName>
    <definedName name="v" localSheetId="14">#REF!</definedName>
    <definedName name="v">#REF!</definedName>
    <definedName name="VALOR_DEP" localSheetId="2">#REF!</definedName>
    <definedName name="VALOR_DEP" localSheetId="5">#REF!</definedName>
    <definedName name="VALOR_DEP" localSheetId="14">#REF!</definedName>
    <definedName name="VALOR_DEP">#REF!</definedName>
    <definedName name="VALUE">'[5]Dados RiscoEnergia'!$F$3:$Q$4</definedName>
    <definedName name="VOL_EUR">'[10]#¡REF'!$C$48</definedName>
    <definedName name="VOL_JPY">'[10]#¡REF'!$D$48</definedName>
    <definedName name="WH" localSheetId="9">#REF!</definedName>
    <definedName name="WH" localSheetId="10">#REF!</definedName>
    <definedName name="WH" localSheetId="2">#REF!</definedName>
    <definedName name="WH" localSheetId="5">#REF!</definedName>
    <definedName name="WH" localSheetId="14">#REF!</definedName>
    <definedName name="WH">#REF!</definedName>
    <definedName name="workganho" localSheetId="2">#REF!</definedName>
    <definedName name="workganho" localSheetId="5">#REF!</definedName>
    <definedName name="workganho" localSheetId="14">#REF!</definedName>
    <definedName name="workganho">#REF!</definedName>
    <definedName name="WORKSHEET" localSheetId="2">#REF!</definedName>
    <definedName name="WORKSHEET" localSheetId="5">#REF!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 i="36" l="1"/>
  <c r="H9" i="36"/>
  <c r="H8" i="36"/>
  <c r="H7" i="36"/>
  <c r="H6" i="36"/>
  <c r="H12" i="36" l="1"/>
  <c r="L28" i="37" l="1"/>
  <c r="K28" i="37"/>
  <c r="I47" i="8" l="1"/>
  <c r="H47" i="8"/>
  <c r="G47" i="8"/>
  <c r="F47" i="8"/>
  <c r="E47" i="8"/>
  <c r="D47" i="8"/>
  <c r="I9" i="8"/>
  <c r="I10" i="8"/>
  <c r="I11" i="8"/>
  <c r="I12" i="8"/>
  <c r="I13" i="8"/>
  <c r="I14" i="8"/>
  <c r="N6" i="33" l="1"/>
  <c r="M6" i="33"/>
  <c r="M82" i="33"/>
  <c r="N82" i="33"/>
  <c r="O28" i="32"/>
  <c r="N28" i="32"/>
  <c r="O92" i="31" l="1"/>
  <c r="O93" i="31" s="1"/>
  <c r="O82" i="31"/>
  <c r="O83" i="31" s="1"/>
  <c r="O66" i="31"/>
  <c r="O72" i="31" s="1"/>
  <c r="O59" i="31"/>
  <c r="O60" i="31" s="1"/>
  <c r="O43" i="31"/>
  <c r="O22" i="31"/>
  <c r="O25" i="31" s="1"/>
  <c r="O28" i="31" s="1"/>
  <c r="O10" i="31"/>
  <c r="O17" i="31" s="1"/>
  <c r="AB190" i="21" l="1"/>
  <c r="AB193" i="21" s="1"/>
  <c r="AB104" i="21"/>
  <c r="AB105" i="21" s="1"/>
  <c r="AB110" i="21" s="1"/>
  <c r="AB17" i="21"/>
  <c r="AB18" i="21" s="1"/>
  <c r="AB23" i="21" s="1"/>
  <c r="Z96" i="4" l="1"/>
  <c r="Z61" i="4"/>
  <c r="AB106" i="22" l="1"/>
  <c r="AB269" i="22" l="1"/>
  <c r="AB259" i="22"/>
  <c r="AB250" i="22"/>
  <c r="AB260" i="22" s="1"/>
  <c r="AB227" i="22"/>
  <c r="AB237" i="22" s="1"/>
  <c r="AB221" i="22"/>
  <c r="AB215" i="22"/>
  <c r="AB199" i="22"/>
  <c r="AB198" i="22"/>
  <c r="AB196" i="22"/>
  <c r="AB200" i="22" l="1"/>
  <c r="AB203" i="22" s="1"/>
  <c r="AB206" i="22" s="1"/>
  <c r="AB270" i="22"/>
  <c r="AB238" i="22"/>
  <c r="J21" i="37" l="1"/>
  <c r="J17" i="37"/>
  <c r="J13" i="37"/>
  <c r="J9" i="37"/>
  <c r="J7" i="37"/>
  <c r="J6" i="37"/>
  <c r="J5" i="37" s="1"/>
  <c r="AA106" i="22" l="1"/>
  <c r="AA104" i="22"/>
  <c r="C45" i="8"/>
  <c r="D45" i="8"/>
  <c r="E45" i="8"/>
  <c r="F45" i="8"/>
  <c r="G45" i="8"/>
  <c r="H45" i="8"/>
  <c r="AA15" i="22"/>
  <c r="AA18" i="22" s="1"/>
  <c r="AA22" i="22" s="1"/>
  <c r="AA25" i="22" s="1"/>
  <c r="AA28" i="22" s="1"/>
  <c r="AA123" i="22" l="1"/>
  <c r="K21" i="37" l="1"/>
  <c r="K17" i="37"/>
  <c r="K13" i="37"/>
  <c r="K9" i="37"/>
  <c r="K7" i="37"/>
  <c r="K6" i="37"/>
  <c r="K5" i="37"/>
  <c r="M37" i="33" l="1"/>
  <c r="N37" i="33"/>
  <c r="N54" i="33"/>
  <c r="M54" i="33"/>
  <c r="N92" i="31" l="1"/>
  <c r="N93" i="31" s="1"/>
  <c r="N83" i="31"/>
  <c r="N82" i="31"/>
  <c r="N72" i="31"/>
  <c r="N59" i="31"/>
  <c r="N60" i="31" s="1"/>
  <c r="N34" i="31"/>
  <c r="N43" i="31"/>
  <c r="N22" i="31"/>
  <c r="N25" i="31" s="1"/>
  <c r="N28" i="31" s="1"/>
  <c r="N16" i="31"/>
  <c r="N13" i="31"/>
  <c r="N17" i="31" s="1"/>
  <c r="N12" i="31"/>
  <c r="N8" i="31"/>
  <c r="N10" i="31" s="1"/>
  <c r="AA269" i="22" l="1"/>
  <c r="AA259" i="22"/>
  <c r="AA250" i="22"/>
  <c r="AA260" i="22" s="1"/>
  <c r="AA237" i="22"/>
  <c r="AA216" i="22"/>
  <c r="AA221" i="22" s="1"/>
  <c r="AA238" i="22" s="1"/>
  <c r="AA212" i="22"/>
  <c r="AA200" i="22"/>
  <c r="AA203" i="22" s="1"/>
  <c r="AA206" i="22" s="1"/>
  <c r="AA198" i="22"/>
  <c r="AA196" i="22"/>
  <c r="AA188" i="22"/>
  <c r="AA270" i="22" l="1"/>
  <c r="AA307" i="6"/>
  <c r="AA279" i="6"/>
  <c r="AA215" i="6"/>
  <c r="AA187" i="6"/>
  <c r="AA133" i="6"/>
  <c r="AA124" i="6"/>
  <c r="AA34" i="6" l="1"/>
  <c r="AA84" i="7" l="1"/>
  <c r="AA86" i="7" s="1"/>
  <c r="AA87" i="7" s="1"/>
  <c r="AA76" i="7"/>
  <c r="AA77" i="7" s="1"/>
  <c r="AA67" i="7"/>
  <c r="AA47" i="7"/>
  <c r="AA54" i="7" s="1"/>
  <c r="AA30" i="7" l="1"/>
  <c r="AA39" i="7"/>
  <c r="AA55" i="7" s="1"/>
  <c r="AA26" i="7"/>
  <c r="AA14" i="7"/>
  <c r="AA18" i="7" s="1"/>
  <c r="AA21" i="7" s="1"/>
  <c r="AA249" i="21" l="1"/>
  <c r="AA240" i="21"/>
  <c r="AA234" i="21"/>
  <c r="AA219" i="21"/>
  <c r="AA212" i="21"/>
  <c r="AA220" i="21" s="1"/>
  <c r="AA201" i="21"/>
  <c r="AA185" i="21"/>
  <c r="AA199" i="21" s="1"/>
  <c r="AA166" i="21"/>
  <c r="AA157" i="21"/>
  <c r="AA150" i="21"/>
  <c r="AA139" i="21"/>
  <c r="AA131" i="21"/>
  <c r="AA121" i="21"/>
  <c r="AA98" i="21"/>
  <c r="AA105" i="21" s="1"/>
  <c r="AA94" i="21"/>
  <c r="AA86" i="21"/>
  <c r="AA76" i="21"/>
  <c r="AA69" i="21"/>
  <c r="AA59" i="21"/>
  <c r="AA48" i="21"/>
  <c r="AA18" i="21"/>
  <c r="AA23" i="21" s="1"/>
  <c r="AA26" i="21" s="1"/>
  <c r="AA29" i="21" s="1"/>
  <c r="AA77" i="21" l="1"/>
  <c r="AA87" i="21" s="1"/>
  <c r="AA140" i="21"/>
  <c r="AA119" i="21"/>
  <c r="AA110" i="21"/>
  <c r="AA113" i="21" s="1"/>
  <c r="AA116" i="21" s="1"/>
  <c r="AA60" i="21"/>
  <c r="AA158" i="21"/>
  <c r="AA167" i="21" s="1"/>
  <c r="AA190" i="21"/>
  <c r="AA193" i="21" s="1"/>
  <c r="AA196" i="21" s="1"/>
  <c r="AA241" i="21"/>
  <c r="AA250" i="21" s="1"/>
  <c r="AA32" i="21"/>
  <c r="Y169" i="4"/>
  <c r="Y204" i="4"/>
  <c r="Y253" i="4"/>
  <c r="Y254" i="4" s="1"/>
  <c r="Y239" i="4"/>
  <c r="Y221" i="4"/>
  <c r="Y200" i="4"/>
  <c r="Y201" i="4" s="1"/>
  <c r="Y196" i="4"/>
  <c r="Y183" i="4"/>
  <c r="Y161" i="4"/>
  <c r="Y156" i="4"/>
  <c r="Y146" i="4"/>
  <c r="Y145" i="4"/>
  <c r="Y152" i="4" s="1"/>
  <c r="Y155" i="4" s="1"/>
  <c r="Y139" i="4"/>
  <c r="Y138" i="4"/>
  <c r="Y134" i="4"/>
  <c r="Y124" i="4"/>
  <c r="Y126" i="4" s="1"/>
  <c r="Y112" i="4"/>
  <c r="Y96" i="4"/>
  <c r="Y76" i="4"/>
  <c r="Y77" i="4" s="1"/>
  <c r="Y61" i="4"/>
  <c r="Y38" i="4"/>
  <c r="Y40" i="4" s="1"/>
  <c r="Y33" i="4"/>
  <c r="Y30" i="4"/>
  <c r="Y24" i="4"/>
  <c r="Y23" i="4"/>
  <c r="Y15" i="4"/>
  <c r="Y8" i="4"/>
  <c r="Y159" i="4" l="1"/>
  <c r="AA180" i="22" l="1"/>
  <c r="AA170" i="22"/>
  <c r="AA160" i="22"/>
  <c r="AA147" i="22"/>
  <c r="AA148" i="22" s="1"/>
  <c r="AA132" i="22"/>
  <c r="Z132" i="22"/>
  <c r="AA110" i="22"/>
  <c r="AA113" i="22" s="1"/>
  <c r="AA116" i="22" s="1"/>
  <c r="AA171" i="22" l="1"/>
  <c r="AA181" i="22" s="1"/>
  <c r="Z17" i="38"/>
  <c r="AA17" i="38"/>
  <c r="AB17" i="38"/>
  <c r="AC17" i="38"/>
  <c r="Z18" i="38"/>
  <c r="AA18" i="38"/>
  <c r="AB18" i="38"/>
  <c r="AC18" i="38"/>
  <c r="Z22" i="2" l="1"/>
  <c r="Z27" i="2" s="1"/>
  <c r="Z15" i="22" l="1"/>
  <c r="Z18" i="22" s="1"/>
  <c r="Z22" i="22" s="1"/>
  <c r="Z25" i="22" s="1"/>
  <c r="Z28" i="22" s="1"/>
  <c r="M10" i="31" l="1"/>
  <c r="C6" i="37" l="1"/>
  <c r="D6" i="37"/>
  <c r="E6" i="37"/>
  <c r="F6" i="37"/>
  <c r="G6" i="37"/>
  <c r="H6" i="37"/>
  <c r="H5" i="37" s="1"/>
  <c r="C7" i="37"/>
  <c r="D7" i="37"/>
  <c r="E7" i="37"/>
  <c r="F7" i="37"/>
  <c r="G7" i="37"/>
  <c r="H7" i="37"/>
  <c r="C9" i="37"/>
  <c r="D9" i="37"/>
  <c r="E9" i="37"/>
  <c r="F9" i="37"/>
  <c r="G9" i="37"/>
  <c r="H9" i="37"/>
  <c r="C13" i="37"/>
  <c r="D13" i="37"/>
  <c r="E13" i="37"/>
  <c r="F13" i="37"/>
  <c r="G13" i="37"/>
  <c r="H13" i="37"/>
  <c r="C17" i="37"/>
  <c r="D17" i="37"/>
  <c r="E17" i="37"/>
  <c r="F17" i="37"/>
  <c r="G17" i="37"/>
  <c r="H17" i="37"/>
  <c r="C21" i="37"/>
  <c r="D21" i="37"/>
  <c r="E21" i="37"/>
  <c r="F21" i="37"/>
  <c r="G21" i="37"/>
  <c r="H21" i="37"/>
  <c r="C5" i="37" l="1"/>
  <c r="E5" i="37"/>
  <c r="F5" i="37"/>
  <c r="D5" i="37"/>
  <c r="G5" i="37"/>
  <c r="I44" i="8"/>
  <c r="I43" i="8"/>
  <c r="I42" i="8"/>
  <c r="I41" i="8"/>
  <c r="I40" i="8"/>
  <c r="I39" i="8"/>
  <c r="I38" i="8"/>
  <c r="I37" i="8"/>
  <c r="I36" i="8"/>
  <c r="I32" i="8"/>
  <c r="I31" i="8"/>
  <c r="I26" i="8"/>
  <c r="I27" i="8"/>
  <c r="I25" i="8"/>
  <c r="I19" i="8"/>
  <c r="I20" i="8"/>
  <c r="I21" i="8"/>
  <c r="I18" i="8"/>
  <c r="D28" i="8"/>
  <c r="E28" i="8"/>
  <c r="F28" i="8"/>
  <c r="G28" i="8"/>
  <c r="H28" i="8"/>
  <c r="C28" i="8"/>
  <c r="I28" i="8" l="1"/>
  <c r="I45" i="8"/>
  <c r="D33" i="8"/>
  <c r="E33" i="8"/>
  <c r="F33" i="8"/>
  <c r="G33" i="8"/>
  <c r="H33" i="8"/>
  <c r="D22" i="8"/>
  <c r="E22" i="8"/>
  <c r="F22" i="8"/>
  <c r="G22" i="8"/>
  <c r="H22" i="8"/>
  <c r="D15" i="8"/>
  <c r="E15" i="8"/>
  <c r="F15" i="8"/>
  <c r="G15" i="8"/>
  <c r="H15" i="8"/>
  <c r="O76" i="32" l="1"/>
  <c r="N76" i="32"/>
  <c r="O73" i="32"/>
  <c r="N73" i="32"/>
  <c r="O69" i="32"/>
  <c r="N69" i="32"/>
  <c r="O60" i="32"/>
  <c r="O47" i="32" s="1"/>
  <c r="N60" i="32"/>
  <c r="N47" i="32" s="1"/>
  <c r="O45" i="32"/>
  <c r="N45" i="32"/>
  <c r="O41" i="32"/>
  <c r="N41" i="32"/>
  <c r="O35" i="32"/>
  <c r="N35" i="32"/>
  <c r="O32" i="32"/>
  <c r="N32" i="32"/>
  <c r="O37" i="32" l="1"/>
  <c r="N63" i="32"/>
  <c r="O63" i="32"/>
  <c r="N37" i="32"/>
  <c r="N5" i="32"/>
  <c r="O5" i="32"/>
  <c r="O79" i="32" s="1"/>
  <c r="N79" i="32" l="1"/>
  <c r="N45" i="33"/>
  <c r="M45" i="33"/>
  <c r="Z86" i="7" l="1"/>
  <c r="Z76" i="7"/>
  <c r="Z60" i="7"/>
  <c r="Z67" i="7" s="1"/>
  <c r="Z54" i="7"/>
  <c r="Z55" i="7" s="1"/>
  <c r="Z39" i="7"/>
  <c r="Z9" i="7"/>
  <c r="Z26" i="7" s="1"/>
  <c r="Z19" i="7"/>
  <c r="Z11" i="7"/>
  <c r="Z10" i="7"/>
  <c r="Z77" i="7" l="1"/>
  <c r="Z87" i="7" s="1"/>
  <c r="Z14" i="7"/>
  <c r="Z18" i="7" s="1"/>
  <c r="Z21" i="7" s="1"/>
  <c r="Z249" i="21" l="1"/>
  <c r="Z240" i="21"/>
  <c r="Z234" i="21"/>
  <c r="Z241" i="21" s="1"/>
  <c r="Z219" i="21"/>
  <c r="Z212" i="21"/>
  <c r="Z220" i="21" s="1"/>
  <c r="Z195" i="21"/>
  <c r="Z192" i="21"/>
  <c r="Z184" i="21"/>
  <c r="Z183" i="21"/>
  <c r="Z182" i="21"/>
  <c r="Z181" i="21"/>
  <c r="Z180" i="21"/>
  <c r="Z185" i="21" s="1"/>
  <c r="Z199" i="21" s="1"/>
  <c r="Z166" i="21"/>
  <c r="Z157" i="21"/>
  <c r="Z150" i="21"/>
  <c r="Z139" i="21"/>
  <c r="Z131" i="21"/>
  <c r="Z140" i="21" s="1"/>
  <c r="Z115" i="21"/>
  <c r="Z112" i="21"/>
  <c r="Z109" i="21"/>
  <c r="Z104" i="21"/>
  <c r="Z103" i="21"/>
  <c r="Z102" i="21"/>
  <c r="Z101" i="21"/>
  <c r="Z100" i="21"/>
  <c r="Z97" i="21"/>
  <c r="Z98" i="21" s="1"/>
  <c r="Z83" i="21"/>
  <c r="Z86" i="21" s="1"/>
  <c r="Z75" i="21"/>
  <c r="Z73" i="21"/>
  <c r="Z71" i="21"/>
  <c r="Z76" i="21" s="1"/>
  <c r="Z68" i="21"/>
  <c r="Z67" i="21"/>
  <c r="Z66" i="21"/>
  <c r="Z65" i="21"/>
  <c r="Z64" i="21"/>
  <c r="Z54" i="21"/>
  <c r="Z53" i="21"/>
  <c r="Z51" i="21"/>
  <c r="Z50" i="21"/>
  <c r="Z47" i="21"/>
  <c r="Z45" i="21"/>
  <c r="Z43" i="21"/>
  <c r="Z42" i="21"/>
  <c r="Z41" i="21"/>
  <c r="Z40" i="21"/>
  <c r="Z39" i="21"/>
  <c r="Z18" i="21"/>
  <c r="Z32" i="21" s="1"/>
  <c r="Z59" i="21" l="1"/>
  <c r="Z48" i="21"/>
  <c r="Z60" i="21" s="1"/>
  <c r="Z69" i="21"/>
  <c r="Z77" i="21" s="1"/>
  <c r="Z87" i="21" s="1"/>
  <c r="Z158" i="21"/>
  <c r="Z105" i="21"/>
  <c r="Z250" i="21"/>
  <c r="Z190" i="21"/>
  <c r="Z193" i="21" s="1"/>
  <c r="Z196" i="21" s="1"/>
  <c r="Z167" i="21"/>
  <c r="Z119" i="21"/>
  <c r="Z110" i="21"/>
  <c r="Z113" i="21" s="1"/>
  <c r="Z116" i="21" s="1"/>
  <c r="Z23" i="21"/>
  <c r="Z26" i="21" s="1"/>
  <c r="Z29" i="21" s="1"/>
  <c r="X253" i="4" l="1"/>
  <c r="X254" i="4" s="1"/>
  <c r="X239" i="4"/>
  <c r="X221" i="4"/>
  <c r="X200" i="4"/>
  <c r="X201" i="4" s="1"/>
  <c r="X196" i="4"/>
  <c r="X183" i="4"/>
  <c r="X156" i="4"/>
  <c r="X146" i="4"/>
  <c r="X139" i="4"/>
  <c r="X138" i="4"/>
  <c r="X145" i="4" s="1"/>
  <c r="X152" i="4" s="1"/>
  <c r="X155" i="4" s="1"/>
  <c r="X134" i="4"/>
  <c r="X124" i="4"/>
  <c r="X112" i="4"/>
  <c r="X96" i="4"/>
  <c r="X76" i="4"/>
  <c r="X61" i="4"/>
  <c r="X77" i="4" s="1"/>
  <c r="X24" i="4"/>
  <c r="X23" i="4"/>
  <c r="X30" i="4" s="1"/>
  <c r="X33" i="4" s="1"/>
  <c r="X38" i="4" s="1"/>
  <c r="X40" i="4" s="1"/>
  <c r="X23" i="2"/>
  <c r="W23" i="2"/>
  <c r="Y23" i="2"/>
  <c r="Y22" i="2"/>
  <c r="X28" i="2"/>
  <c r="W28" i="2"/>
  <c r="X126" i="4" l="1"/>
  <c r="X127" i="4" s="1"/>
  <c r="X255" i="4"/>
  <c r="X159" i="4"/>
  <c r="X161" i="4" s="1"/>
  <c r="Y28" i="2"/>
  <c r="C15" i="8"/>
  <c r="I15" i="8" s="1"/>
  <c r="C22" i="8"/>
  <c r="I22" i="8" s="1"/>
  <c r="C33" i="8"/>
  <c r="I33" i="8" s="1"/>
  <c r="C47" i="8" l="1"/>
  <c r="Y15" i="22"/>
  <c r="N90" i="33" l="1"/>
  <c r="M113" i="33"/>
  <c r="N49" i="33"/>
  <c r="N59" i="33"/>
  <c r="N113" i="33"/>
  <c r="M15" i="33"/>
  <c r="M72" i="33"/>
  <c r="N72" i="33"/>
  <c r="M98" i="33"/>
  <c r="M90" i="33"/>
  <c r="M49" i="33"/>
  <c r="M20" i="33"/>
  <c r="M108" i="33"/>
  <c r="N20" i="33"/>
  <c r="M59" i="33"/>
  <c r="M102" i="33"/>
  <c r="N69" i="33"/>
  <c r="N15" i="33"/>
  <c r="N102" i="33"/>
  <c r="N108" i="33"/>
  <c r="M69" i="33"/>
  <c r="N98" i="33"/>
  <c r="N39" i="33" l="1"/>
  <c r="M39" i="33"/>
  <c r="N61" i="33"/>
  <c r="M61" i="33"/>
  <c r="M85" i="33"/>
  <c r="N85" i="33"/>
  <c r="N115" i="33" l="1"/>
  <c r="M115" i="33"/>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W15" i="22"/>
  <c r="D15" i="22"/>
  <c r="D17" i="22" s="1"/>
  <c r="C15" i="22"/>
  <c r="C17" i="22" s="1"/>
  <c r="D4" i="22"/>
  <c r="C4" i="22"/>
  <c r="X15" i="22" l="1"/>
  <c r="C17" i="38"/>
  <c r="D17" i="38"/>
  <c r="E17" i="38"/>
  <c r="F17" i="38"/>
  <c r="G17" i="38"/>
  <c r="I17" i="38"/>
  <c r="J17" i="38"/>
  <c r="K17" i="38"/>
  <c r="L17" i="38"/>
  <c r="M17" i="38"/>
  <c r="N17" i="38"/>
  <c r="O17" i="38"/>
  <c r="P17" i="38"/>
  <c r="Q17" i="38"/>
  <c r="R17" i="38"/>
  <c r="S17" i="38"/>
  <c r="T17" i="38"/>
  <c r="U17" i="38"/>
  <c r="V17" i="38"/>
  <c r="W17" i="38"/>
  <c r="X17" i="38"/>
  <c r="C18" i="38"/>
  <c r="D18" i="38"/>
  <c r="E18" i="38"/>
  <c r="F18" i="38"/>
  <c r="G18" i="38"/>
  <c r="H18" i="38"/>
  <c r="I18" i="38"/>
  <c r="K18" i="38"/>
  <c r="L18" i="38"/>
  <c r="M18" i="38"/>
  <c r="N18" i="38"/>
  <c r="O18" i="38"/>
  <c r="P18" i="38"/>
  <c r="Q18" i="38"/>
  <c r="S18" i="38"/>
  <c r="T18" i="38"/>
  <c r="U18" i="38"/>
  <c r="V18" i="38"/>
  <c r="W18" i="38"/>
  <c r="X18" i="38"/>
  <c r="Y18" i="38"/>
  <c r="R18" i="38" l="1"/>
  <c r="Y17" i="38"/>
  <c r="H17" i="38"/>
  <c r="J18" i="38"/>
  <c r="C20" i="35" l="1"/>
  <c r="X269" i="22" l="1"/>
  <c r="X257" i="22"/>
  <c r="X250" i="22"/>
  <c r="X237" i="22"/>
  <c r="X221" i="22"/>
  <c r="X196" i="22"/>
  <c r="X259" i="22" l="1"/>
  <c r="X200" i="22"/>
  <c r="X238" i="22"/>
  <c r="X260" i="22"/>
  <c r="X270" i="22" l="1"/>
  <c r="X203" i="22"/>
  <c r="X206" i="22" l="1"/>
  <c r="W269" i="22" l="1"/>
  <c r="W259" i="22"/>
  <c r="W250" i="22"/>
  <c r="W260" i="22" s="1"/>
  <c r="W237" i="22"/>
  <c r="W221" i="22"/>
  <c r="W238" i="22" s="1"/>
  <c r="W270" i="22" l="1"/>
  <c r="W178" i="21" l="1"/>
  <c r="W185" i="21" s="1"/>
  <c r="W190" i="21" s="1"/>
  <c r="W193" i="21" s="1"/>
  <c r="W196" i="21" s="1"/>
  <c r="W166" i="21"/>
  <c r="W157" i="21"/>
  <c r="W150" i="21"/>
  <c r="W139" i="21"/>
  <c r="W131" i="21"/>
  <c r="W140" i="21" l="1"/>
  <c r="W158" i="21"/>
  <c r="W167" i="21" s="1"/>
  <c r="V14" i="6" l="1"/>
  <c r="V15" i="6"/>
  <c r="V16" i="6"/>
  <c r="V13" i="6"/>
  <c r="I13" i="31"/>
  <c r="I14" i="31"/>
  <c r="I15" i="31"/>
  <c r="I12" i="31"/>
  <c r="V21" i="7"/>
  <c r="V23" i="7"/>
  <c r="V24" i="7"/>
  <c r="V20" i="7"/>
  <c r="V17" i="7"/>
  <c r="V16" i="7"/>
  <c r="V10" i="7"/>
  <c r="V11" i="7"/>
  <c r="V12" i="7"/>
  <c r="V9" i="7"/>
  <c r="V14" i="21"/>
  <c r="V15" i="21"/>
  <c r="V16" i="21"/>
  <c r="V13" i="21"/>
  <c r="T253" i="4" l="1"/>
  <c r="T239" i="4"/>
  <c r="T221" i="4"/>
  <c r="T200" i="4"/>
  <c r="T201" i="4" s="1"/>
  <c r="T196" i="4"/>
  <c r="T183" i="4"/>
  <c r="T156" i="4"/>
  <c r="T146" i="4"/>
  <c r="T139" i="4"/>
  <c r="T145" i="4" s="1"/>
  <c r="T138" i="4"/>
  <c r="T134" i="4"/>
  <c r="T76" i="4"/>
  <c r="T77" i="4" s="1"/>
  <c r="T61" i="4"/>
  <c r="T34" i="4"/>
  <c r="T24" i="4"/>
  <c r="T16" i="4"/>
  <c r="T15" i="4"/>
  <c r="T23" i="4" s="1"/>
  <c r="T8" i="4"/>
  <c r="T152" i="4" l="1"/>
  <c r="T155" i="4" s="1"/>
  <c r="T159" i="4" s="1"/>
  <c r="T161" i="4" s="1"/>
  <c r="T254" i="4"/>
  <c r="T30" i="4"/>
  <c r="T33" i="4" s="1"/>
  <c r="T38" i="4" s="1"/>
  <c r="T40" i="4" s="1"/>
  <c r="S8" i="4"/>
  <c r="T107" i="22" l="1"/>
  <c r="T105" i="22"/>
  <c r="T22" i="22" l="1"/>
  <c r="T25" i="22" s="1"/>
  <c r="T28" i="22" s="1"/>
  <c r="T89" i="22"/>
  <c r="T79" i="22"/>
  <c r="T70" i="22"/>
  <c r="T80" i="22" s="1"/>
  <c r="T90" i="22" s="1"/>
  <c r="T58" i="22"/>
  <c r="T43" i="22"/>
  <c r="T59" i="22" l="1"/>
  <c r="T269" i="22"/>
  <c r="T259" i="22"/>
  <c r="T250" i="22"/>
  <c r="T260" i="22" s="1"/>
  <c r="T237" i="22"/>
  <c r="T221" i="22"/>
  <c r="T195" i="22"/>
  <c r="T200" i="22" s="1"/>
  <c r="T203" i="22" s="1"/>
  <c r="T206" i="22" s="1"/>
  <c r="T270" i="22" l="1"/>
  <c r="T238" i="22"/>
  <c r="T249" i="21"/>
  <c r="T240" i="21"/>
  <c r="T234" i="21"/>
  <c r="T241" i="21" s="1"/>
  <c r="T219" i="21"/>
  <c r="T212" i="21"/>
  <c r="T184" i="21"/>
  <c r="T185" i="21" s="1"/>
  <c r="T190" i="21" s="1"/>
  <c r="T193" i="21" s="1"/>
  <c r="T196" i="21" s="1"/>
  <c r="T166" i="21"/>
  <c r="T157" i="21"/>
  <c r="T150" i="21"/>
  <c r="T139" i="21"/>
  <c r="T131" i="21"/>
  <c r="T140" i="21" s="1"/>
  <c r="T104" i="21"/>
  <c r="T98" i="21"/>
  <c r="T86" i="21"/>
  <c r="T76" i="21"/>
  <c r="T69" i="21"/>
  <c r="T59" i="21"/>
  <c r="T48" i="21"/>
  <c r="T60" i="21" s="1"/>
  <c r="T22" i="21"/>
  <c r="T17" i="21"/>
  <c r="T18" i="21" s="1"/>
  <c r="T23" i="21" s="1"/>
  <c r="T26" i="21" s="1"/>
  <c r="T29" i="21" s="1"/>
  <c r="T77" i="21" l="1"/>
  <c r="T87" i="21" s="1"/>
  <c r="T158" i="21"/>
  <c r="T167" i="21" s="1"/>
  <c r="T220" i="21"/>
  <c r="T250" i="21"/>
  <c r="T105" i="21"/>
  <c r="T110" i="21" s="1"/>
  <c r="T113" i="21" s="1"/>
  <c r="T116" i="21" s="1"/>
  <c r="S15" i="4" l="1"/>
  <c r="R15" i="4"/>
  <c r="S88" i="22" l="1"/>
  <c r="S89" i="22" s="1"/>
  <c r="S79" i="22"/>
  <c r="S64" i="22"/>
  <c r="S70" i="22" s="1"/>
  <c r="S80" i="22" s="1"/>
  <c r="S58" i="22"/>
  <c r="S43" i="22"/>
  <c r="Q89" i="22"/>
  <c r="Q79" i="22"/>
  <c r="Q70" i="22"/>
  <c r="Q58" i="22"/>
  <c r="Q43" i="22"/>
  <c r="S90" i="22" l="1"/>
  <c r="Q59" i="22"/>
  <c r="Q80" i="22"/>
  <c r="S59" i="22"/>
  <c r="Q90"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83" i="31" s="1"/>
  <c r="F93" i="31" s="1"/>
  <c r="F59" i="31"/>
  <c r="F43" i="31"/>
  <c r="F60" i="31" s="1"/>
  <c r="S253" i="4" l="1"/>
  <c r="S239" i="4"/>
  <c r="S221" i="4"/>
  <c r="S200" i="4"/>
  <c r="S196" i="4"/>
  <c r="S183" i="4"/>
  <c r="S161" i="4"/>
  <c r="S156" i="4"/>
  <c r="S146" i="4"/>
  <c r="S139" i="4"/>
  <c r="S138" i="4"/>
  <c r="S134" i="4"/>
  <c r="S124" i="4"/>
  <c r="S112" i="4"/>
  <c r="S96" i="4"/>
  <c r="S76" i="4"/>
  <c r="S61" i="4"/>
  <c r="S34" i="4"/>
  <c r="S24" i="4"/>
  <c r="S16" i="4"/>
  <c r="S23" i="4"/>
  <c r="S30" i="4" l="1"/>
  <c r="S33" i="4" s="1"/>
  <c r="S38" i="4" s="1"/>
  <c r="S40" i="4" s="1"/>
  <c r="S254" i="4"/>
  <c r="S77" i="4"/>
  <c r="S201" i="4"/>
  <c r="S145" i="4"/>
  <c r="S152" i="4" s="1"/>
  <c r="S155" i="4" s="1"/>
  <c r="S126" i="4"/>
  <c r="S255" i="4" l="1"/>
  <c r="R253" i="4" l="1"/>
  <c r="Q253" i="4"/>
  <c r="P253" i="4"/>
  <c r="O253" i="4"/>
  <c r="N253" i="4"/>
  <c r="M253" i="4"/>
  <c r="L253" i="4"/>
  <c r="K253" i="4"/>
  <c r="J253" i="4"/>
  <c r="I253" i="4"/>
  <c r="H253" i="4"/>
  <c r="G253" i="4"/>
  <c r="F253" i="4"/>
  <c r="E253" i="4"/>
  <c r="D253" i="4"/>
  <c r="C253" i="4"/>
  <c r="R239" i="4"/>
  <c r="Q239" i="4"/>
  <c r="P239" i="4"/>
  <c r="O239" i="4"/>
  <c r="N239" i="4"/>
  <c r="M239" i="4"/>
  <c r="L239" i="4"/>
  <c r="K239" i="4"/>
  <c r="J239" i="4"/>
  <c r="I239" i="4"/>
  <c r="H239" i="4"/>
  <c r="G239" i="4"/>
  <c r="F239" i="4"/>
  <c r="E239" i="4"/>
  <c r="D239" i="4"/>
  <c r="C239" i="4"/>
  <c r="R221" i="4"/>
  <c r="Q221" i="4"/>
  <c r="P221" i="4"/>
  <c r="O221" i="4"/>
  <c r="N221" i="4"/>
  <c r="M221" i="4"/>
  <c r="L221" i="4"/>
  <c r="K221" i="4"/>
  <c r="J221" i="4"/>
  <c r="I221" i="4"/>
  <c r="H221" i="4"/>
  <c r="G221" i="4"/>
  <c r="F221" i="4"/>
  <c r="F254" i="4" s="1"/>
  <c r="E221" i="4"/>
  <c r="D221" i="4"/>
  <c r="C221" i="4"/>
  <c r="R200" i="4"/>
  <c r="Q200" i="4"/>
  <c r="P200" i="4"/>
  <c r="O200" i="4"/>
  <c r="N200" i="4"/>
  <c r="M200" i="4"/>
  <c r="L200" i="4"/>
  <c r="K200" i="4"/>
  <c r="J200" i="4"/>
  <c r="I200" i="4"/>
  <c r="H200" i="4"/>
  <c r="G200" i="4"/>
  <c r="F200" i="4"/>
  <c r="E200" i="4"/>
  <c r="D200" i="4"/>
  <c r="C200" i="4"/>
  <c r="R196" i="4"/>
  <c r="Q196" i="4"/>
  <c r="P196" i="4"/>
  <c r="O196" i="4"/>
  <c r="N196" i="4"/>
  <c r="M196" i="4"/>
  <c r="L196" i="4"/>
  <c r="K196" i="4"/>
  <c r="J196" i="4"/>
  <c r="I196" i="4"/>
  <c r="H196" i="4"/>
  <c r="G196" i="4"/>
  <c r="F196" i="4"/>
  <c r="E196" i="4"/>
  <c r="D196" i="4"/>
  <c r="C196" i="4"/>
  <c r="R183" i="4"/>
  <c r="Q183" i="4"/>
  <c r="P183" i="4"/>
  <c r="O183" i="4"/>
  <c r="N183" i="4"/>
  <c r="M183" i="4"/>
  <c r="L183" i="4"/>
  <c r="K183" i="4"/>
  <c r="J183" i="4"/>
  <c r="I183" i="4"/>
  <c r="H183" i="4"/>
  <c r="G183" i="4"/>
  <c r="F183" i="4"/>
  <c r="E183" i="4"/>
  <c r="D183" i="4"/>
  <c r="C183" i="4"/>
  <c r="Q156" i="4"/>
  <c r="P156" i="4"/>
  <c r="O156" i="4"/>
  <c r="N156" i="4"/>
  <c r="M156" i="4"/>
  <c r="L156" i="4"/>
  <c r="K156" i="4"/>
  <c r="J156" i="4"/>
  <c r="I156" i="4"/>
  <c r="H156" i="4"/>
  <c r="G156" i="4"/>
  <c r="F156" i="4"/>
  <c r="E156" i="4"/>
  <c r="D156" i="4"/>
  <c r="C156" i="4"/>
  <c r="Q146" i="4"/>
  <c r="P146" i="4"/>
  <c r="O146" i="4"/>
  <c r="N146" i="4"/>
  <c r="M146" i="4"/>
  <c r="L146" i="4"/>
  <c r="K146" i="4"/>
  <c r="J146" i="4"/>
  <c r="I146" i="4"/>
  <c r="H146" i="4"/>
  <c r="G146" i="4"/>
  <c r="F146" i="4"/>
  <c r="D146" i="4"/>
  <c r="C146" i="4"/>
  <c r="R139" i="4"/>
  <c r="Q139" i="4"/>
  <c r="P139" i="4"/>
  <c r="O139" i="4"/>
  <c r="N139" i="4"/>
  <c r="M139" i="4"/>
  <c r="L139" i="4"/>
  <c r="K139" i="4"/>
  <c r="J139" i="4"/>
  <c r="I139" i="4"/>
  <c r="H139" i="4"/>
  <c r="G139" i="4"/>
  <c r="F139" i="4"/>
  <c r="E139" i="4"/>
  <c r="D139" i="4"/>
  <c r="C139" i="4"/>
  <c r="R138" i="4"/>
  <c r="R145" i="4" s="1"/>
  <c r="R152" i="4" s="1"/>
  <c r="R155" i="4" s="1"/>
  <c r="R159" i="4" s="1"/>
  <c r="R161" i="4" s="1"/>
  <c r="Q138" i="4"/>
  <c r="Q145" i="4" s="1"/>
  <c r="P138" i="4"/>
  <c r="P145" i="4" s="1"/>
  <c r="O138" i="4"/>
  <c r="O145" i="4" s="1"/>
  <c r="N138" i="4"/>
  <c r="N145" i="4" s="1"/>
  <c r="N152" i="4" s="1"/>
  <c r="N155" i="4" s="1"/>
  <c r="N159" i="4" s="1"/>
  <c r="N161" i="4" s="1"/>
  <c r="M138" i="4"/>
  <c r="M145" i="4" s="1"/>
  <c r="M152" i="4" s="1"/>
  <c r="M155" i="4" s="1"/>
  <c r="L138" i="4"/>
  <c r="L145" i="4" s="1"/>
  <c r="K138" i="4"/>
  <c r="K145" i="4" s="1"/>
  <c r="J138" i="4"/>
  <c r="J145" i="4" s="1"/>
  <c r="I138" i="4"/>
  <c r="I145" i="4" s="1"/>
  <c r="H138" i="4"/>
  <c r="H145" i="4" s="1"/>
  <c r="G138" i="4"/>
  <c r="G145" i="4" s="1"/>
  <c r="F138" i="4"/>
  <c r="F145" i="4" s="1"/>
  <c r="F152" i="4" s="1"/>
  <c r="F155" i="4" s="1"/>
  <c r="F159" i="4" s="1"/>
  <c r="F161" i="4" s="1"/>
  <c r="E138" i="4"/>
  <c r="E145" i="4" s="1"/>
  <c r="E152" i="4" s="1"/>
  <c r="E155" i="4" s="1"/>
  <c r="D138" i="4"/>
  <c r="D145" i="4" s="1"/>
  <c r="D152" i="4" s="1"/>
  <c r="D155" i="4" s="1"/>
  <c r="C138" i="4"/>
  <c r="C145" i="4" s="1"/>
  <c r="C152" i="4" s="1"/>
  <c r="C155" i="4" s="1"/>
  <c r="Q134" i="4"/>
  <c r="P134" i="4"/>
  <c r="O134" i="4"/>
  <c r="N134" i="4"/>
  <c r="M134" i="4"/>
  <c r="L134" i="4"/>
  <c r="K134" i="4"/>
  <c r="J134" i="4"/>
  <c r="I134" i="4"/>
  <c r="H134" i="4"/>
  <c r="G134" i="4"/>
  <c r="F134" i="4"/>
  <c r="E134" i="4"/>
  <c r="R124" i="4"/>
  <c r="Q124" i="4"/>
  <c r="P124" i="4"/>
  <c r="O124" i="4"/>
  <c r="N124" i="4"/>
  <c r="M124" i="4"/>
  <c r="L124" i="4"/>
  <c r="K124" i="4"/>
  <c r="J124" i="4"/>
  <c r="I124" i="4"/>
  <c r="H124" i="4"/>
  <c r="G124" i="4"/>
  <c r="F124" i="4"/>
  <c r="E124" i="4"/>
  <c r="D124" i="4"/>
  <c r="C124" i="4"/>
  <c r="R112" i="4"/>
  <c r="Q112" i="4"/>
  <c r="P112" i="4"/>
  <c r="O112" i="4"/>
  <c r="N112" i="4"/>
  <c r="M112" i="4"/>
  <c r="L112" i="4"/>
  <c r="K112" i="4"/>
  <c r="J112" i="4"/>
  <c r="I112" i="4"/>
  <c r="H112" i="4"/>
  <c r="G112" i="4"/>
  <c r="F112" i="4"/>
  <c r="E112" i="4"/>
  <c r="D112" i="4"/>
  <c r="C112" i="4"/>
  <c r="R96" i="4"/>
  <c r="Q96" i="4"/>
  <c r="P96" i="4"/>
  <c r="O96" i="4"/>
  <c r="N96" i="4"/>
  <c r="M96" i="4"/>
  <c r="L96" i="4"/>
  <c r="K96" i="4"/>
  <c r="J96" i="4"/>
  <c r="I96" i="4"/>
  <c r="H96" i="4"/>
  <c r="G96" i="4"/>
  <c r="F96" i="4"/>
  <c r="E96" i="4"/>
  <c r="D96" i="4"/>
  <c r="C96" i="4"/>
  <c r="R76" i="4"/>
  <c r="Q76" i="4"/>
  <c r="P76" i="4"/>
  <c r="O76" i="4"/>
  <c r="N76" i="4"/>
  <c r="M76" i="4"/>
  <c r="L76" i="4"/>
  <c r="K76" i="4"/>
  <c r="J76" i="4"/>
  <c r="I76" i="4"/>
  <c r="H76" i="4"/>
  <c r="G76" i="4"/>
  <c r="F76" i="4"/>
  <c r="E76" i="4"/>
  <c r="D76" i="4"/>
  <c r="C76" i="4"/>
  <c r="R61" i="4"/>
  <c r="Q61" i="4"/>
  <c r="P61" i="4"/>
  <c r="O61" i="4"/>
  <c r="N61" i="4"/>
  <c r="M61" i="4"/>
  <c r="L61" i="4"/>
  <c r="K61" i="4"/>
  <c r="J61" i="4"/>
  <c r="I61" i="4"/>
  <c r="H61" i="4"/>
  <c r="G61" i="4"/>
  <c r="F61" i="4"/>
  <c r="E61" i="4"/>
  <c r="D61" i="4"/>
  <c r="C61"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16" i="4"/>
  <c r="P16" i="4"/>
  <c r="O16" i="4"/>
  <c r="N16" i="4"/>
  <c r="M16" i="4"/>
  <c r="L16" i="4"/>
  <c r="K16" i="4"/>
  <c r="J16" i="4"/>
  <c r="I16" i="4"/>
  <c r="H16" i="4"/>
  <c r="G16" i="4"/>
  <c r="F16" i="4"/>
  <c r="E16" i="4"/>
  <c r="D16" i="4"/>
  <c r="C16" i="4"/>
  <c r="R23" i="4"/>
  <c r="Q15" i="4"/>
  <c r="Q23" i="4" s="1"/>
  <c r="P15" i="4"/>
  <c r="P23" i="4" s="1"/>
  <c r="O15" i="4"/>
  <c r="O23" i="4" s="1"/>
  <c r="N15" i="4"/>
  <c r="M15" i="4"/>
  <c r="M23" i="4" s="1"/>
  <c r="L15" i="4"/>
  <c r="L23" i="4" s="1"/>
  <c r="K15" i="4"/>
  <c r="K23" i="4" s="1"/>
  <c r="J15" i="4"/>
  <c r="J23" i="4" s="1"/>
  <c r="I15" i="4"/>
  <c r="I23" i="4" s="1"/>
  <c r="H15" i="4"/>
  <c r="H23" i="4" s="1"/>
  <c r="G15" i="4"/>
  <c r="G23" i="4" s="1"/>
  <c r="F15" i="4"/>
  <c r="F23" i="4" s="1"/>
  <c r="E15" i="4"/>
  <c r="E23" i="4" s="1"/>
  <c r="D15" i="4"/>
  <c r="D23" i="4" s="1"/>
  <c r="C15" i="4"/>
  <c r="C23" i="4" s="1"/>
  <c r="Q8" i="4"/>
  <c r="P8" i="4"/>
  <c r="O8" i="4"/>
  <c r="N8" i="4"/>
  <c r="M8" i="4"/>
  <c r="L8" i="4"/>
  <c r="K8" i="4"/>
  <c r="H30" i="4" l="1"/>
  <c r="H33" i="4" s="1"/>
  <c r="H38" i="4" s="1"/>
  <c r="H40" i="4" s="1"/>
  <c r="J30" i="4"/>
  <c r="J33" i="4" s="1"/>
  <c r="J38" i="4" s="1"/>
  <c r="J40" i="4" s="1"/>
  <c r="G152" i="4"/>
  <c r="G155" i="4" s="1"/>
  <c r="G159" i="4" s="1"/>
  <c r="G161" i="4" s="1"/>
  <c r="C30" i="4"/>
  <c r="C33" i="4" s="1"/>
  <c r="C38" i="4" s="1"/>
  <c r="C40" i="4" s="1"/>
  <c r="K30" i="4"/>
  <c r="K33" i="4" s="1"/>
  <c r="K38" i="4" s="1"/>
  <c r="K40" i="4" s="1"/>
  <c r="H152" i="4"/>
  <c r="H155" i="4" s="1"/>
  <c r="H159" i="4" s="1"/>
  <c r="H161" i="4" s="1"/>
  <c r="P152" i="4"/>
  <c r="P155" i="4" s="1"/>
  <c r="P159" i="4" s="1"/>
  <c r="P161" i="4" s="1"/>
  <c r="G30" i="4"/>
  <c r="G33" i="4" s="1"/>
  <c r="G38" i="4" s="1"/>
  <c r="G40" i="4" s="1"/>
  <c r="O30" i="4"/>
  <c r="O33" i="4" s="1"/>
  <c r="O38" i="4" s="1"/>
  <c r="O40" i="4" s="1"/>
  <c r="D159" i="4"/>
  <c r="D161" i="4" s="1"/>
  <c r="L152" i="4"/>
  <c r="L155" i="4" s="1"/>
  <c r="L159" i="4" s="1"/>
  <c r="L161" i="4" s="1"/>
  <c r="N23" i="4"/>
  <c r="K152" i="4"/>
  <c r="K155" i="4" s="1"/>
  <c r="E159" i="4"/>
  <c r="E161" i="4" s="1"/>
  <c r="M159" i="4"/>
  <c r="M161" i="4" s="1"/>
  <c r="R30" i="4"/>
  <c r="R33" i="4" s="1"/>
  <c r="R38" i="4" s="1"/>
  <c r="R40" i="4" s="1"/>
  <c r="F30" i="4"/>
  <c r="F33" i="4" s="1"/>
  <c r="F38" i="4" s="1"/>
  <c r="F40" i="4" s="1"/>
  <c r="N30" i="4"/>
  <c r="N33" i="4" s="1"/>
  <c r="N38" i="4" s="1"/>
  <c r="N40" i="4" s="1"/>
  <c r="P30" i="4"/>
  <c r="P33" i="4" s="1"/>
  <c r="P38" i="4" s="1"/>
  <c r="P40" i="4" s="1"/>
  <c r="I30" i="4"/>
  <c r="I33" i="4" s="1"/>
  <c r="I38" i="4" s="1"/>
  <c r="I40" i="4" s="1"/>
  <c r="Q30" i="4"/>
  <c r="Q33" i="4" s="1"/>
  <c r="Q38" i="4" s="1"/>
  <c r="Q40" i="4" s="1"/>
  <c r="O152" i="4"/>
  <c r="O155" i="4" s="1"/>
  <c r="O159" i="4" s="1"/>
  <c r="O161" i="4" s="1"/>
  <c r="Q152" i="4"/>
  <c r="Q155" i="4" s="1"/>
  <c r="Q159" i="4" s="1"/>
  <c r="Q161" i="4" s="1"/>
  <c r="E30" i="4"/>
  <c r="E33" i="4" s="1"/>
  <c r="E38" i="4" s="1"/>
  <c r="E40" i="4" s="1"/>
  <c r="M30" i="4"/>
  <c r="M33" i="4" s="1"/>
  <c r="M38" i="4" s="1"/>
  <c r="M40" i="4" s="1"/>
  <c r="J152" i="4"/>
  <c r="J155" i="4" s="1"/>
  <c r="J159" i="4" s="1"/>
  <c r="J161" i="4" s="1"/>
  <c r="I152" i="4"/>
  <c r="I155" i="4" s="1"/>
  <c r="I159" i="4" s="1"/>
  <c r="I161" i="4" s="1"/>
  <c r="C159" i="4"/>
  <c r="C161" i="4" s="1"/>
  <c r="K159" i="4"/>
  <c r="K161" i="4" s="1"/>
  <c r="D30" i="4"/>
  <c r="D33" i="4" s="1"/>
  <c r="D38" i="4" s="1"/>
  <c r="D40" i="4" s="1"/>
  <c r="L30" i="4"/>
  <c r="L33" i="4" s="1"/>
  <c r="L38" i="4" s="1"/>
  <c r="L40" i="4" s="1"/>
  <c r="G254" i="4"/>
  <c r="F77" i="4"/>
  <c r="N77" i="4"/>
  <c r="F126" i="4"/>
  <c r="F127" i="4" s="1"/>
  <c r="N126" i="4"/>
  <c r="D201" i="4"/>
  <c r="L201" i="4"/>
  <c r="D254" i="4"/>
  <c r="L254" i="4"/>
  <c r="G77" i="4"/>
  <c r="O77" i="4"/>
  <c r="G126" i="4"/>
  <c r="G127" i="4" s="1"/>
  <c r="O126" i="4"/>
  <c r="E201" i="4"/>
  <c r="M201" i="4"/>
  <c r="E254" i="4"/>
  <c r="M254" i="4"/>
  <c r="H77" i="4"/>
  <c r="P77" i="4"/>
  <c r="H126" i="4"/>
  <c r="P126" i="4"/>
  <c r="F201" i="4"/>
  <c r="F255" i="4" s="1"/>
  <c r="N201" i="4"/>
  <c r="N254" i="4"/>
  <c r="I77" i="4"/>
  <c r="Q77" i="4"/>
  <c r="I126" i="4"/>
  <c r="Q126" i="4"/>
  <c r="G201" i="4"/>
  <c r="O201" i="4"/>
  <c r="O254" i="4"/>
  <c r="J77" i="4"/>
  <c r="R77" i="4"/>
  <c r="J126" i="4"/>
  <c r="R126" i="4"/>
  <c r="H201" i="4"/>
  <c r="P201" i="4"/>
  <c r="H254" i="4"/>
  <c r="P254" i="4"/>
  <c r="C77" i="4"/>
  <c r="K77" i="4"/>
  <c r="C126" i="4"/>
  <c r="K126" i="4"/>
  <c r="I201" i="4"/>
  <c r="Q201" i="4"/>
  <c r="I254" i="4"/>
  <c r="Q254" i="4"/>
  <c r="D77" i="4"/>
  <c r="L77" i="4"/>
  <c r="D126" i="4"/>
  <c r="L126" i="4"/>
  <c r="J201" i="4"/>
  <c r="R201" i="4"/>
  <c r="R254" i="4"/>
  <c r="J254" i="4"/>
  <c r="E77" i="4"/>
  <c r="M77" i="4"/>
  <c r="E126" i="4"/>
  <c r="M126" i="4"/>
  <c r="C201" i="4"/>
  <c r="K201" i="4"/>
  <c r="C254" i="4"/>
  <c r="K254" i="4"/>
  <c r="E127" i="4" l="1"/>
  <c r="M127" i="4"/>
  <c r="C127" i="4"/>
  <c r="G255" i="4"/>
  <c r="N127" i="4"/>
  <c r="L255" i="4"/>
  <c r="L127" i="4"/>
  <c r="K127" i="4"/>
  <c r="R127" i="4"/>
  <c r="I127" i="4"/>
  <c r="E255" i="4"/>
  <c r="P127" i="4"/>
  <c r="O127" i="4"/>
  <c r="O255" i="4"/>
  <c r="D255" i="4"/>
  <c r="P255" i="4"/>
  <c r="Q255" i="4"/>
  <c r="D127" i="4"/>
  <c r="J127" i="4"/>
  <c r="Q127" i="4"/>
  <c r="H127" i="4"/>
  <c r="N255" i="4"/>
  <c r="M255" i="4"/>
  <c r="K255" i="4"/>
  <c r="J255" i="4"/>
  <c r="I255" i="4"/>
  <c r="H255" i="4"/>
  <c r="R255" i="4"/>
  <c r="C255" i="4"/>
  <c r="E94" i="31"/>
  <c r="R91" i="22" l="1"/>
  <c r="D240" i="21" l="1"/>
  <c r="E240" i="21"/>
  <c r="F240" i="21"/>
  <c r="G240" i="21"/>
  <c r="H240" i="21"/>
  <c r="I240" i="21"/>
  <c r="J240" i="21"/>
  <c r="K240" i="21"/>
  <c r="L240" i="21"/>
  <c r="M240" i="21"/>
  <c r="N240" i="21"/>
  <c r="O240" i="21"/>
  <c r="P240" i="21"/>
  <c r="Q240" i="21"/>
  <c r="R240" i="21"/>
  <c r="R241" i="21" s="1"/>
  <c r="R250" i="21" s="1"/>
  <c r="O241" i="2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58" i="21" s="1"/>
  <c r="Q167" i="21" s="1"/>
  <c r="Q139" i="21"/>
  <c r="Q131" i="21"/>
  <c r="Q104" i="21"/>
  <c r="Q98" i="21"/>
  <c r="Q86" i="21"/>
  <c r="Q76" i="21"/>
  <c r="Q69" i="21"/>
  <c r="Q59" i="21"/>
  <c r="Q48" i="21"/>
  <c r="Q17" i="21"/>
  <c r="Q11" i="21"/>
  <c r="Q60" i="21" l="1"/>
  <c r="Q140" i="21"/>
  <c r="Q168" i="21" s="1"/>
  <c r="Q105" i="21"/>
  <c r="Q110" i="21" s="1"/>
  <c r="Q113" i="21" s="1"/>
  <c r="Q116" i="21" s="1"/>
  <c r="Q77" i="21"/>
  <c r="Q87" i="21" s="1"/>
  <c r="Q18" i="21"/>
  <c r="Q23" i="21" s="1"/>
  <c r="Q26" i="21" s="1"/>
  <c r="Q29" i="21" s="1"/>
  <c r="Q252" i="21"/>
  <c r="Q363" i="6"/>
  <c r="Q353" i="6"/>
  <c r="Q339" i="6"/>
  <c r="Q337" i="6"/>
  <c r="Q331" i="6"/>
  <c r="Q311" i="6"/>
  <c r="Q316" i="6" s="1"/>
  <c r="Q332" i="6" s="1"/>
  <c r="Q297" i="6"/>
  <c r="Q289" i="6"/>
  <c r="Q283" i="6"/>
  <c r="Q290" i="6" s="1"/>
  <c r="Q295" i="6" s="1"/>
  <c r="Q271" i="6"/>
  <c r="Q261" i="6"/>
  <c r="Q247" i="6"/>
  <c r="Q245" i="6"/>
  <c r="Q239" i="6"/>
  <c r="Q219" i="6"/>
  <c r="Q224" i="6" s="1"/>
  <c r="Q197" i="6"/>
  <c r="Q191" i="6"/>
  <c r="Q198" i="6" s="1"/>
  <c r="Q203" i="6" s="1"/>
  <c r="Q206" i="6" s="1"/>
  <c r="Q209" i="6" s="1"/>
  <c r="Q180" i="6"/>
  <c r="Q164" i="6"/>
  <c r="Q170" i="6" s="1"/>
  <c r="Q156" i="6"/>
  <c r="Q154" i="6"/>
  <c r="Q148" i="6"/>
  <c r="Q128" i="6"/>
  <c r="Q133" i="6" s="1"/>
  <c r="Q115" i="6"/>
  <c r="Q107" i="6"/>
  <c r="Q101" i="6"/>
  <c r="Q90" i="6"/>
  <c r="Q80" i="6"/>
  <c r="Q64" i="6"/>
  <c r="Q71" i="6" s="1"/>
  <c r="Q58" i="6"/>
  <c r="Q38" i="6"/>
  <c r="Q43" i="6" s="1"/>
  <c r="Q25" i="6"/>
  <c r="Q17" i="6"/>
  <c r="Q11" i="6"/>
  <c r="Q18" i="6" l="1"/>
  <c r="Q23" i="6" s="1"/>
  <c r="Q26" i="6" s="1"/>
  <c r="Q29" i="6" s="1"/>
  <c r="Q59" i="6"/>
  <c r="Q344" i="6"/>
  <c r="Q354" i="6" s="1"/>
  <c r="Q364" i="6" s="1"/>
  <c r="Q240" i="6"/>
  <c r="Q161" i="6"/>
  <c r="Q171" i="6" s="1"/>
  <c r="Q181" i="6" s="1"/>
  <c r="Q298" i="6"/>
  <c r="Q301" i="6" s="1"/>
  <c r="Q252" i="6"/>
  <c r="Q262" i="6" s="1"/>
  <c r="Q272" i="6" s="1"/>
  <c r="Q108" i="6"/>
  <c r="Q113" i="6" s="1"/>
  <c r="Q116" i="6" s="1"/>
  <c r="Q119" i="6" s="1"/>
  <c r="Q149" i="6"/>
  <c r="Q81" i="6"/>
  <c r="Q91" i="6" s="1"/>
  <c r="Q91" i="22" l="1"/>
  <c r="P86" i="7" l="1"/>
  <c r="P76" i="7"/>
  <c r="P67" i="7"/>
  <c r="P54" i="7"/>
  <c r="P55" i="7" s="1"/>
  <c r="P39" i="7"/>
  <c r="P77" i="7" l="1"/>
  <c r="P87" i="7" s="1"/>
  <c r="P363" i="6"/>
  <c r="P353" i="6"/>
  <c r="P344" i="6"/>
  <c r="P354" i="6" s="1"/>
  <c r="P331" i="6"/>
  <c r="P316" i="6"/>
  <c r="P271" i="6"/>
  <c r="P261" i="6"/>
  <c r="P252" i="6"/>
  <c r="P239" i="6"/>
  <c r="P224" i="6"/>
  <c r="P180" i="6"/>
  <c r="P170" i="6"/>
  <c r="P161" i="6"/>
  <c r="P148" i="6"/>
  <c r="P133" i="6"/>
  <c r="P90" i="6"/>
  <c r="P80" i="6"/>
  <c r="P71" i="6"/>
  <c r="P58" i="6"/>
  <c r="P43" i="6"/>
  <c r="P59" i="6" s="1"/>
  <c r="P332" i="6" l="1"/>
  <c r="P364" i="6"/>
  <c r="P240" i="6"/>
  <c r="P262" i="6"/>
  <c r="P272" i="6" s="1"/>
  <c r="P149" i="6"/>
  <c r="P81" i="6"/>
  <c r="P91" i="6" s="1"/>
  <c r="P171" i="6"/>
  <c r="P181"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c r="P25" i="22" s="1"/>
  <c r="P28" i="22" s="1"/>
  <c r="P89" i="22"/>
  <c r="P79" i="22"/>
  <c r="P70" i="22"/>
  <c r="P80" i="22" s="1"/>
  <c r="P58" i="22"/>
  <c r="P43" i="22"/>
  <c r="P90" i="22" l="1"/>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M260" i="22" s="1"/>
  <c r="K250" i="22"/>
  <c r="J250" i="22"/>
  <c r="I250" i="22"/>
  <c r="I260" i="22" s="1"/>
  <c r="I270" i="22" s="1"/>
  <c r="G250" i="22"/>
  <c r="G260" i="22" s="1"/>
  <c r="F250" i="22"/>
  <c r="F260" i="22" s="1"/>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N238" i="22" s="1"/>
  <c r="M221" i="22"/>
  <c r="K221" i="22"/>
  <c r="J221" i="22"/>
  <c r="I221" i="22"/>
  <c r="H221" i="22"/>
  <c r="H238" i="22" s="1"/>
  <c r="G221" i="22"/>
  <c r="G238" i="22" s="1"/>
  <c r="G271" i="22" s="1"/>
  <c r="F221" i="22"/>
  <c r="F238" i="22" s="1"/>
  <c r="F271" i="22" s="1"/>
  <c r="E221" i="22"/>
  <c r="E238" i="22" s="1"/>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J91" i="22" s="1"/>
  <c r="I58" i="22"/>
  <c r="I59" i="22" s="1"/>
  <c r="N260" i="22" l="1"/>
  <c r="N270" i="22" s="1"/>
  <c r="I91" i="22"/>
  <c r="K91" i="22"/>
  <c r="I238" i="22"/>
  <c r="I271" i="22" s="1"/>
  <c r="P91" i="22"/>
  <c r="F270" i="22"/>
  <c r="L259" i="22"/>
  <c r="L260" i="22" s="1"/>
  <c r="L270" i="22" s="1"/>
  <c r="G270" i="22"/>
  <c r="C238" i="22"/>
  <c r="K238" i="22"/>
  <c r="L238" i="22"/>
  <c r="J238" i="22"/>
  <c r="D238" i="22"/>
  <c r="M238" i="22"/>
  <c r="M271" i="22" s="1"/>
  <c r="H260" i="22"/>
  <c r="H270" i="22" s="1"/>
  <c r="M270" i="22"/>
  <c r="J260" i="22"/>
  <c r="J270" i="22" s="1"/>
  <c r="K260" i="22"/>
  <c r="K270" i="22" s="1"/>
  <c r="E260" i="22"/>
  <c r="E270" i="22" s="1"/>
  <c r="D260" i="22"/>
  <c r="D270" i="22" s="1"/>
  <c r="C260" i="22"/>
  <c r="C270" i="22" s="1"/>
  <c r="N271" i="22"/>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58" i="21" s="1"/>
  <c r="P139" i="21"/>
  <c r="P131" i="21"/>
  <c r="L112" i="21"/>
  <c r="N109" i="21"/>
  <c r="M109" i="21"/>
  <c r="H109" i="21"/>
  <c r="P104" i="21"/>
  <c r="N104" i="21"/>
  <c r="M104" i="21"/>
  <c r="L104" i="21"/>
  <c r="K104" i="21"/>
  <c r="J104" i="21"/>
  <c r="I104" i="21"/>
  <c r="H104" i="21"/>
  <c r="G104" i="21"/>
  <c r="F104" i="21"/>
  <c r="E104" i="21"/>
  <c r="C104" i="21"/>
  <c r="D103" i="21"/>
  <c r="D104" i="21" s="1"/>
  <c r="P98" i="21"/>
  <c r="P105" i="21" s="1"/>
  <c r="P110" i="21" s="1"/>
  <c r="P113" i="21" s="1"/>
  <c r="P116" i="21" s="1"/>
  <c r="N98" i="21"/>
  <c r="M98" i="21"/>
  <c r="L98" i="21"/>
  <c r="K98" i="21"/>
  <c r="J98" i="21"/>
  <c r="I98" i="21"/>
  <c r="H98" i="21"/>
  <c r="G98" i="21"/>
  <c r="G105" i="21" s="1"/>
  <c r="G110" i="21" s="1"/>
  <c r="G113" i="21" s="1"/>
  <c r="G116" i="21" s="1"/>
  <c r="F98" i="21"/>
  <c r="E98" i="21"/>
  <c r="D98" i="21"/>
  <c r="C98" i="21"/>
  <c r="P86" i="21"/>
  <c r="P76" i="21"/>
  <c r="P69" i="21"/>
  <c r="P77" i="21" s="1"/>
  <c r="P59" i="21"/>
  <c r="P48" i="21"/>
  <c r="P60" i="21" s="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P87" i="21" l="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P167" i="2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P168" i="21" s="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C173" i="21" l="1"/>
  <c r="D173" i="21"/>
  <c r="O28" i="6"/>
  <c r="O25" i="6"/>
  <c r="O22" i="6"/>
  <c r="O20" i="6"/>
  <c r="O16" i="6"/>
  <c r="O15" i="6"/>
  <c r="O14" i="6"/>
  <c r="O13" i="6"/>
  <c r="O10" i="6"/>
  <c r="O9" i="6"/>
  <c r="O17" i="6" l="1"/>
  <c r="O11" i="6"/>
  <c r="O18" i="6" l="1"/>
  <c r="O23" i="6" s="1"/>
  <c r="O26" i="6" s="1"/>
  <c r="O29"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M71" i="6"/>
  <c r="L71" i="6"/>
  <c r="K71" i="6"/>
  <c r="J71" i="6"/>
  <c r="I71" i="6"/>
  <c r="H71" i="6"/>
  <c r="H81" i="6" s="1"/>
  <c r="H91" i="6" s="1"/>
  <c r="G71" i="6"/>
  <c r="G81" i="6" s="1"/>
  <c r="G91" i="6" s="1"/>
  <c r="F71" i="6"/>
  <c r="E71" i="6"/>
  <c r="D71" i="6"/>
  <c r="C71" i="6"/>
  <c r="N58" i="6"/>
  <c r="M58" i="6"/>
  <c r="L58" i="6"/>
  <c r="K58" i="6"/>
  <c r="J58" i="6"/>
  <c r="I58" i="6"/>
  <c r="H58" i="6"/>
  <c r="G58" i="6"/>
  <c r="F58" i="6"/>
  <c r="E58" i="6"/>
  <c r="D58" i="6"/>
  <c r="C58" i="6"/>
  <c r="N43" i="6"/>
  <c r="M43" i="6"/>
  <c r="L43" i="6"/>
  <c r="K43" i="6"/>
  <c r="J43" i="6"/>
  <c r="I43" i="6"/>
  <c r="H43" i="6"/>
  <c r="H59" i="6" s="1"/>
  <c r="G43" i="6"/>
  <c r="G59" i="6" s="1"/>
  <c r="F43" i="6"/>
  <c r="E43" i="6"/>
  <c r="D43" i="6"/>
  <c r="C38" i="6"/>
  <c r="C43" i="6" s="1"/>
  <c r="D59" i="6" l="1"/>
  <c r="D81" i="6"/>
  <c r="D91" i="6" s="1"/>
  <c r="L81" i="6"/>
  <c r="L91" i="6" s="1"/>
  <c r="L59" i="6"/>
  <c r="F59" i="6"/>
  <c r="N59" i="6"/>
  <c r="F81" i="6"/>
  <c r="F91" i="6" s="1"/>
  <c r="N81" i="6"/>
  <c r="N91" i="6" s="1"/>
  <c r="E59" i="6"/>
  <c r="M59" i="6"/>
  <c r="E81" i="6"/>
  <c r="E91" i="6" s="1"/>
  <c r="M81" i="6"/>
  <c r="M91" i="6" s="1"/>
  <c r="J59" i="6"/>
  <c r="J81" i="6"/>
  <c r="J91" i="6" s="1"/>
  <c r="I59" i="6"/>
  <c r="I81" i="6"/>
  <c r="I91" i="6" s="1"/>
  <c r="C59" i="6"/>
  <c r="K59" i="6"/>
  <c r="C81" i="6"/>
  <c r="C91" i="6" s="1"/>
  <c r="K81" i="6"/>
  <c r="K91" i="6" s="1"/>
</calcChain>
</file>

<file path=xl/sharedStrings.xml><?xml version="1.0" encoding="utf-8"?>
<sst xmlns="http://schemas.openxmlformats.org/spreadsheetml/2006/main" count="4883" uniqueCount="1239">
  <si>
    <t>__________________________________________________________________________________________________________________________________________________________</t>
  </si>
  <si>
    <t>ISA y sus empresas</t>
  </si>
  <si>
    <t>Kit de Valoración</t>
  </si>
  <si>
    <t>Contenido</t>
  </si>
  <si>
    <t>Nota preventiva</t>
  </si>
  <si>
    <r>
      <rPr>
        <sz val="9"/>
        <color theme="0" tint="-0.499984740745262"/>
        <rFont val="Tahoma"/>
        <family val="2"/>
      </rPr>
      <t>Esta información ha sido preparada por ISA y sus empresas con información propia y de las compañías en las cuales tiene participación mayoritaria, la cual no es definitiva ni ha sido</t>
    </r>
    <r>
      <rPr>
        <sz val="11"/>
        <color theme="0" tint="-0.499984740745262"/>
        <rFont val="Tahoma"/>
        <family val="2"/>
      </rPr>
      <t xml:space="preserve"> </t>
    </r>
  </si>
  <si>
    <t>auditada. Por lo anterior, la información contenida en este documento es susceptible de modificaciones, complementos o enmiendas sin necesidad de aviso previo. Igualmente, la información</t>
  </si>
  <si>
    <t>presentada puede diferir de las cifras publicadas por entidades oficiales.  ISA y sus empresas no asume obligación alguna de actualizar o corregir la información contenida en este documento.</t>
  </si>
  <si>
    <t xml:space="preserve">ISA y sus empresas no otorgan ninguna garantía expresa o implícita y no es responsable respecto a la exhaustividad de la información (ni por omisión ni por elementos de dicha información </t>
  </si>
  <si>
    <t>que fuesen susceptibles de conducir a error). ISA y sus empresas no serán responsables de ninguna consecuencia resultante del uso de este documento.</t>
  </si>
  <si>
    <t>__________________________________________________________________________________________________________________________________________</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</si>
  <si>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</si>
  <si>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</si>
  <si>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</si>
  <si>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</si>
  <si>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</si>
  <si>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</si>
  <si>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</si>
  <si>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</si>
  <si>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</si>
  <si>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</si>
  <si>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</si>
  <si>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</si>
  <si>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</si>
  <si>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</si>
  <si>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</si>
  <si>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</si>
  <si>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</si>
  <si>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</si>
  <si>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</si>
  <si>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</si>
  <si>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</si>
  <si>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</si>
  <si>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</si>
  <si>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</si>
  <si>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</si>
  <si>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</si>
  <si>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</si>
  <si>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</si>
  <si>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</si>
  <si>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</si>
  <si>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</si>
  <si>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</si>
  <si>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</si>
  <si>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</si>
  <si>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</si>
  <si>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</si>
  <si>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</si>
  <si>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</si>
  <si>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</si>
  <si>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</si>
  <si>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</si>
  <si>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</si>
  <si>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</si>
  <si>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</si>
  <si>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</si>
  <si>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2T22</t>
  </si>
  <si>
    <t>3T22</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</si>
  <si>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</si>
  <si>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</si>
  <si>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</si>
  <si>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</si>
  <si>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</si>
  <si>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</si>
  <si>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</si>
  <si>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</si>
  <si>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</si>
  <si>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</si>
  <si>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</si>
  <si>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</si>
  <si>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</si>
  <si>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</si>
  <si>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</si>
  <si>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</si>
  <si>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</si>
  <si>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</si>
  <si>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</si>
  <si>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</si>
  <si>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</si>
  <si>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</si>
  <si>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</si>
  <si>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</si>
  <si>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</si>
  <si>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</si>
  <si>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</si>
  <si>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</si>
  <si>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</si>
  <si>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1T22</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</si>
  <si>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</si>
  <si>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</si>
  <si>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</si>
  <si>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</si>
  <si>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</si>
  <si>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</si>
  <si>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</si>
  <si>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</si>
  <si>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</si>
  <si>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</si>
  <si>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</si>
  <si>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</si>
  <si>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</si>
  <si>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</si>
  <si>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</si>
  <si>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</si>
  <si>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</si>
  <si>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</si>
  <si>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</si>
  <si>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</si>
  <si>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</si>
  <si>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</si>
  <si>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</si>
  <si>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</si>
  <si>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</si>
  <si>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</si>
  <si>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</si>
  <si>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</si>
  <si>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</si>
  <si>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</si>
  <si>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</si>
  <si>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</si>
  <si>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</si>
  <si>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</si>
  <si>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</si>
  <si>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</si>
  <si>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</si>
  <si>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</si>
  <si>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</si>
  <si>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</si>
  <si>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</si>
  <si>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</si>
  <si>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</si>
  <si>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</si>
  <si>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</si>
  <si>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</si>
  <si>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</si>
  <si>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</si>
  <si>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</si>
  <si>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</si>
  <si>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</si>
  <si>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Ingresos</t>
  </si>
  <si>
    <t>Ingresos contrato de cuentas en participación</t>
  </si>
  <si>
    <t>Utilidad contrato de cuentas en participación</t>
  </si>
  <si>
    <t>Servicios de transmisión de energía eléctrica</t>
  </si>
  <si>
    <t>Cargos por conexión</t>
  </si>
  <si>
    <t>Proyectos de infraestructura</t>
  </si>
  <si>
    <t>Telecomunicaciones</t>
  </si>
  <si>
    <t>Total ingresos</t>
  </si>
  <si>
    <t>EBITDA</t>
  </si>
  <si>
    <t>Utilidad Bruta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</si>
  <si>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</si>
  <si>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</si>
  <si>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</si>
  <si>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</si>
  <si>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</si>
  <si>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</si>
  <si>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 xml:space="preserve"> 2T21 </t>
  </si>
  <si>
    <t>Gerenciamiento de proyectos</t>
  </si>
  <si>
    <t>6.52</t>
  </si>
  <si>
    <t>Arrendamientos de infraestructura eléctrica</t>
  </si>
  <si>
    <t xml:space="preserve">              -  </t>
  </si>
  <si>
    <t xml:space="preserve">               -  </t>
  </si>
  <si>
    <t>ESTADOS SEPARADOS DE SITUACIÓN FINANCIERA - ISA INTERCOLOMBIA</t>
  </si>
  <si>
    <t> </t>
  </si>
  <si>
    <t>12.24</t>
  </si>
  <si>
    <t>Intangibles - neto</t>
  </si>
  <si>
    <t>25.43</t>
  </si>
  <si>
    <t>Otros activos financieros</t>
  </si>
  <si>
    <t>4.68</t>
  </si>
  <si>
    <t>Contrato cuentas en participación</t>
  </si>
  <si>
    <t>92.54</t>
  </si>
  <si>
    <t>ESTADOS DE RESULTADOS SEPARADOS - TRANSELCA</t>
  </si>
  <si>
    <t>Despacho y coordinación CND - MEM</t>
  </si>
  <si>
    <t>ESTADOS SEPARADOS DE SITUACIÓN FINANCIERA-TRANSELCA</t>
  </si>
  <si>
    <t>Inventario</t>
  </si>
  <si>
    <t>Inversiones en negocio conjunto</t>
  </si>
  <si>
    <t>Activos Intangibles en arrendamiento Financiero</t>
  </si>
  <si>
    <t>Cuentas por pagar vinculados económicos</t>
  </si>
  <si>
    <t>ESTADOS SEPARADOS DE SITUACIÓN FINANCIERA-XM</t>
  </si>
  <si>
    <t>https://informeanual.xm.com.co/informe/pages/xm/a-informe-financiero-y-notas.html</t>
  </si>
  <si>
    <t>ESTADOS DE RESULTADOS CONSOLIDADO IFRS - CTEEP</t>
  </si>
  <si>
    <t>Cifras expresadas en miles de reales</t>
  </si>
  <si>
    <t>Consolidated</t>
  </si>
  <si>
    <t>1Q18</t>
  </si>
  <si>
    <t>2Q18</t>
  </si>
  <si>
    <t>3Q18</t>
  </si>
  <si>
    <t>4Q18</t>
  </si>
  <si>
    <t>1Q19</t>
  </si>
  <si>
    <t>2Q19</t>
  </si>
  <si>
    <t>3Q19</t>
  </si>
  <si>
    <t>4Q19</t>
  </si>
  <si>
    <t>1Q20</t>
  </si>
  <si>
    <t>2Q20</t>
  </si>
  <si>
    <t>3Q20</t>
  </si>
  <si>
    <t>4Q20</t>
  </si>
  <si>
    <t>1Q21</t>
  </si>
  <si>
    <t>2Q21</t>
  </si>
  <si>
    <t>3Q21</t>
  </si>
  <si>
    <t>4Q21</t>
  </si>
  <si>
    <t>1Q22</t>
  </si>
  <si>
    <t>2Q22</t>
  </si>
  <si>
    <t>3Q22</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</si>
  <si>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</si>
  <si>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</si>
  <si>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</si>
  <si>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</si>
  <si>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</si>
  <si>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</si>
  <si>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</si>
  <si>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</si>
  <si>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</si>
  <si>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</si>
  <si>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</si>
  <si>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</si>
  <si>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</si>
  <si>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</si>
  <si>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</si>
  <si>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</si>
  <si>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</si>
  <si>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</si>
  <si>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</si>
  <si>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</si>
  <si>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</si>
  <si>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</si>
  <si>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</si>
  <si>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</si>
  <si>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</si>
  <si>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</si>
  <si>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</si>
  <si>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</si>
  <si>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</si>
  <si>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</si>
  <si>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</si>
  <si>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</si>
  <si>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</si>
  <si>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</si>
  <si>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</si>
  <si>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</si>
  <si>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</si>
  <si>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</si>
  <si>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</si>
  <si>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</si>
  <si>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</si>
  <si>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</si>
  <si>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</si>
  <si>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</si>
  <si>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</si>
  <si>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</si>
  <si>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</si>
  <si>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Advance to suppliers</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</si>
  <si>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</si>
  <si>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</si>
  <si>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</si>
  <si>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</si>
  <si>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</si>
  <si>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</si>
  <si>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</si>
  <si>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</si>
  <si>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</si>
  <si>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</si>
  <si>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</si>
  <si>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</si>
  <si>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</si>
  <si>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</si>
  <si>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</si>
  <si>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</si>
  <si>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</si>
  <si>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</si>
  <si>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</si>
  <si>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</si>
  <si>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</si>
  <si>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</si>
  <si>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</si>
  <si>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</si>
  <si>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</si>
  <si>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</si>
  <si>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</si>
  <si>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</si>
  <si>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Provision for Contingencies </t>
  </si>
  <si>
    <t>Benefit to employess - Actuarial Deficit</t>
  </si>
  <si>
    <t>Deferred PIS and Cofins</t>
  </si>
  <si>
    <t>Provisions</t>
  </si>
  <si>
    <t>Global Reversal Reserve - RGR</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</si>
  <si>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</si>
  <si>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</si>
  <si>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</si>
  <si>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</si>
  <si>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</si>
  <si>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</si>
  <si>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</si>
  <si>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</si>
  <si>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</si>
  <si>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</si>
  <si>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</si>
  <si>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</si>
  <si>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</si>
  <si>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</si>
  <si>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</si>
  <si>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</si>
  <si>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</si>
  <si>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</si>
  <si>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</si>
  <si>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</si>
  <si>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</si>
  <si>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</si>
  <si>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</si>
  <si>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</si>
  <si>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</si>
  <si>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</si>
  <si>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</si>
  <si>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</si>
  <si>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</si>
  <si>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</si>
  <si>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</si>
  <si>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</si>
  <si>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</si>
  <si>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</si>
  <si>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</si>
  <si>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</si>
  <si>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</si>
  <si>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</si>
  <si>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</si>
  <si>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</si>
  <si>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</si>
  <si>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</si>
  <si>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</si>
  <si>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</si>
  <si>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</si>
  <si>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</si>
  <si>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</si>
  <si>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</si>
  <si>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</si>
  <si>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</si>
  <si>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</si>
  <si>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</si>
  <si>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</si>
  <si>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</si>
  <si>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</si>
  <si>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Derivative Instruments</t>
  </si>
  <si>
    <t>Taxes, Fees and Contributions</t>
  </si>
  <si>
    <t>Taxes installments - Law 11,941</t>
  </si>
  <si>
    <t>Regulatory Charges</t>
  </si>
  <si>
    <t>Defered income taxes and social contribution</t>
  </si>
  <si>
    <t>Interest on Shareholders' Equity</t>
  </si>
  <si>
    <t>Adjustment Portion (PA)</t>
  </si>
  <si>
    <t>NON-CURRENT LIABILITIES</t>
  </si>
  <si>
    <t>Long-Term Liabilities</t>
  </si>
  <si>
    <t>Employee Benefit - Actuarial Deficit</t>
  </si>
  <si>
    <t>Diferred PIS and COFINS</t>
  </si>
  <si>
    <t>Obligations connected to concession service</t>
  </si>
  <si>
    <t>Especial Liabilities - Reversal/Amortization</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</si>
  <si>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</si>
  <si>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</si>
  <si>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</si>
  <si>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</si>
  <si>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</si>
  <si>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</si>
  <si>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</si>
  <si>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</si>
  <si>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</si>
  <si>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</si>
  <si>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</si>
  <si>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</si>
  <si>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</si>
  <si>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ESTADOS FINANCIEROS NO CONTROLADAS CTEEP (Resultados em Excel - Hoja "DRE Coligadas")</t>
  </si>
  <si>
    <t>https://www.isacteep.com.br/ri/informacoes-financeiras/central-de-resultados</t>
  </si>
  <si>
    <t>ESTADOS FINANCIEROS TAESA</t>
  </si>
  <si>
    <t>RI Taesa – Transmissora Aliança de Energia Elétrica S.A – Site Relações com Investidores</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</si>
  <si>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</si>
  <si>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</si>
  <si>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</si>
  <si>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</si>
  <si>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</si>
  <si>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</si>
  <si>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</si>
  <si>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</si>
  <si>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</si>
  <si>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</si>
  <si>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</si>
  <si>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</si>
  <si>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</si>
  <si>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</si>
  <si>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</si>
  <si>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</si>
  <si>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</si>
  <si>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</si>
  <si>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</si>
  <si>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Ingresos complementarios</t>
  </si>
  <si>
    <t>Utilidad de Operación</t>
  </si>
  <si>
    <t>ESTADOS SEPARADOS DE SITUACIÓN FINANCIERA - CONSORCIO TRANSMANTARO</t>
  </si>
  <si>
    <t>Cuentas por cobrar comerciales</t>
  </si>
  <si>
    <t>Otras cuentas por cobrar</t>
  </si>
  <si>
    <t>Inventarios</t>
  </si>
  <si>
    <t>Otros activo no financieros</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</si>
  <si>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</si>
  <si>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</si>
  <si>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</si>
  <si>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</si>
  <si>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</si>
  <si>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</si>
  <si>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</si>
  <si>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</si>
  <si>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</si>
  <si>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</si>
  <si>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</si>
  <si>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</si>
  <si>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</si>
  <si>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</si>
  <si>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</si>
  <si>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Utilidad Bruta de construcción</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</si>
  <si>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</si>
  <si>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</si>
  <si>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</si>
  <si>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</si>
  <si>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</si>
  <si>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</si>
  <si>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</si>
  <si>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</si>
  <si>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</si>
  <si>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</si>
  <si>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</si>
  <si>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</si>
  <si>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</si>
  <si>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</si>
  <si>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</si>
  <si>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</si>
  <si>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</si>
  <si>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</si>
  <si>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</si>
  <si>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</si>
  <si>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</si>
  <si>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</si>
  <si>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</si>
  <si>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</si>
  <si>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</si>
  <si>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</si>
  <si>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</si>
  <si>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</si>
  <si>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</si>
  <si>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</si>
  <si>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</si>
  <si>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</si>
  <si>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</si>
  <si>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</si>
  <si>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</si>
  <si>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</si>
  <si>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</si>
  <si>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</si>
  <si>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</si>
  <si>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</si>
  <si>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</si>
  <si>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</si>
  <si>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</si>
  <si>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</si>
  <si>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</si>
  <si>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</si>
  <si>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</si>
  <si>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</si>
  <si>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</si>
  <si>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</si>
  <si>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</si>
  <si>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</si>
  <si>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</si>
  <si>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</si>
  <si>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</si>
  <si>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</si>
  <si>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</si>
  <si>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</si>
  <si>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</si>
  <si>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</si>
  <si>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</si>
  <si>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</si>
  <si>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</si>
  <si>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</si>
  <si>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</si>
  <si>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</si>
  <si>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</si>
  <si>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</si>
  <si>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MAIPO</t>
  </si>
  <si>
    <t>Cifras expresadas en millones de pesos chilenos</t>
  </si>
  <si>
    <t>ESTADOS SEPARADOS DE SITUACIÓN FINANCIERA-RUTA DEL MAIPO</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</si>
  <si>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</si>
  <si>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</si>
  <si>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</si>
  <si>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</si>
  <si>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</si>
  <si>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</si>
  <si>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</si>
  <si>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</si>
  <si>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https://www.cmfchile.cl/sitio/aplic/serdoc/ver_sgd.php?s567=5a42ca1fb24a3382f19a5257b793b814VFdwQmVVMXFRWHBOUkVFMVRWUkJNMDlSUFQwPQ==&amp;secuencia=-1&amp;t=1652711492</t>
  </si>
  <si>
    <t>Filial</t>
  </si>
  <si>
    <t>Fuente de Financiación</t>
  </si>
  <si>
    <t>Moneda Crédito</t>
  </si>
  <si>
    <t>Fecha Inicial</t>
  </si>
  <si>
    <t>Fecha Vencimiento</t>
  </si>
  <si>
    <t>Plazo Años</t>
  </si>
  <si>
    <t>Tasa de Interés</t>
  </si>
  <si>
    <t>COLOMBIA</t>
  </si>
  <si>
    <t>Ruta Costera</t>
  </si>
  <si>
    <t>Bancolombia</t>
  </si>
  <si>
    <t>COP</t>
  </si>
  <si>
    <t>IPC</t>
  </si>
  <si>
    <t>⁺</t>
  </si>
  <si>
    <t xml:space="preserve">Banco de Bogota </t>
  </si>
  <si>
    <t>Banco de Occidente</t>
  </si>
  <si>
    <t>Ashmore-CAF</t>
  </si>
  <si>
    <t>UVR</t>
  </si>
  <si>
    <t xml:space="preserve">Tasa Fija </t>
  </si>
  <si>
    <t>FDN</t>
  </si>
  <si>
    <t>IBR (3M)</t>
  </si>
  <si>
    <t xml:space="preserve">Transelca </t>
  </si>
  <si>
    <t>BBVA</t>
  </si>
  <si>
    <t>Internexa</t>
  </si>
  <si>
    <t>Banco Popular</t>
  </si>
  <si>
    <t>IBR (6M)</t>
  </si>
  <si>
    <t>Davivienda</t>
  </si>
  <si>
    <t>Banco Davivienda</t>
  </si>
  <si>
    <t>PERU</t>
  </si>
  <si>
    <t>Scotiabank</t>
  </si>
  <si>
    <t>USD</t>
  </si>
  <si>
    <t>ISA PERÚ</t>
  </si>
  <si>
    <t>PEN</t>
  </si>
  <si>
    <t>BCP</t>
  </si>
  <si>
    <t>PDI</t>
  </si>
  <si>
    <t>ITX PERU</t>
  </si>
  <si>
    <t>Banco BCP</t>
  </si>
  <si>
    <t>SOFR(3M)</t>
  </si>
  <si>
    <t>+</t>
  </si>
  <si>
    <t>Banco Interbank</t>
  </si>
  <si>
    <t>BRASIL</t>
  </si>
  <si>
    <t>CTEEP</t>
  </si>
  <si>
    <t>BNDES III (FINEM)</t>
  </si>
  <si>
    <t>BRL</t>
  </si>
  <si>
    <t xml:space="preserve">TJLP </t>
  </si>
  <si>
    <t>BNDES III (PSI)</t>
  </si>
  <si>
    <t>BNDES III (Social)</t>
  </si>
  <si>
    <t>BNDES IV</t>
  </si>
  <si>
    <t>BNDES IV (Social)</t>
  </si>
  <si>
    <t xml:space="preserve">CDI </t>
  </si>
  <si>
    <t>BNDES V</t>
  </si>
  <si>
    <t xml:space="preserve">TLP </t>
  </si>
  <si>
    <t>IENNE</t>
  </si>
  <si>
    <t>Banco do Nordeste</t>
  </si>
  <si>
    <t>ITX Brasil</t>
  </si>
  <si>
    <t>Banco Safra</t>
  </si>
  <si>
    <t>Banco ABC</t>
  </si>
  <si>
    <t>ITAU Brasil</t>
  </si>
  <si>
    <t>China Construction Bank</t>
  </si>
  <si>
    <t>Banco BOCOM</t>
  </si>
  <si>
    <t>Banco Sofisa</t>
  </si>
  <si>
    <t>Banco Fibra</t>
  </si>
  <si>
    <t>CHILE</t>
  </si>
  <si>
    <t>ITX CHILE</t>
  </si>
  <si>
    <t>CLP</t>
  </si>
  <si>
    <t>TAB (180)</t>
  </si>
  <si>
    <t>BCI</t>
  </si>
  <si>
    <t>RUTA ARAUCANÍA</t>
  </si>
  <si>
    <t>UF</t>
  </si>
  <si>
    <t>TAB (30)</t>
  </si>
  <si>
    <t>RUTA 
DE LOS RIOS</t>
  </si>
  <si>
    <t>Banco BICE</t>
  </si>
  <si>
    <t>TAB (360)</t>
  </si>
  <si>
    <t>RUTA DEL LOA</t>
  </si>
  <si>
    <t>Banco Santander Chile</t>
  </si>
  <si>
    <t>Compañía de Seguros Euroamérica</t>
  </si>
  <si>
    <t>Compañía de Seguros Confuturo</t>
  </si>
  <si>
    <t>INTERVIAL</t>
  </si>
  <si>
    <t>Banco Itau Corpbanca</t>
  </si>
  <si>
    <t>Fair Value Swap</t>
  </si>
  <si>
    <t>TOTAL OBLIGACIONES FINANCIERAS</t>
  </si>
  <si>
    <t>Tipo</t>
  </si>
  <si>
    <t>Fecha Emisión</t>
  </si>
  <si>
    <t>Fecha
Vencimiento</t>
  </si>
  <si>
    <t>Bonos</t>
  </si>
  <si>
    <t>Programa Tramo 7 Serie A</t>
  </si>
  <si>
    <t>Programa Tramo 7 Serie B</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</si>
  <si>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</si>
  <si>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</si>
  <si>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</si>
  <si>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</si>
  <si>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</si>
  <si>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</si>
  <si>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</si>
  <si>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</si>
  <si>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</si>
  <si>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</si>
  <si>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</si>
  <si>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</si>
  <si>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</si>
  <si>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</si>
  <si>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</si>
  <si>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</si>
  <si>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</si>
  <si>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</si>
  <si>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Bonos 144A Reg/S</t>
  </si>
  <si>
    <t>COSTERA</t>
  </si>
  <si>
    <t xml:space="preserve">Bonos Serie A </t>
  </si>
  <si>
    <t>Bonos Serie B</t>
  </si>
  <si>
    <t>TRANSELCA</t>
  </si>
  <si>
    <t>Tercera Emisión - Tramo II</t>
  </si>
  <si>
    <t>2P 20va Emision (Serie A)</t>
  </si>
  <si>
    <t>3P 4ta Emision (Serie A)</t>
  </si>
  <si>
    <t>CTM</t>
  </si>
  <si>
    <t>CTM Bonos Internacionales</t>
  </si>
  <si>
    <t>Debentures 5ª Emissão</t>
  </si>
  <si>
    <t>IPCA</t>
  </si>
  <si>
    <t>Debentures 7ª Emissão</t>
  </si>
  <si>
    <t>Debentures 8ª Emissão</t>
  </si>
  <si>
    <t>Debentures 9ª Emissão (Serie1)</t>
  </si>
  <si>
    <t>Debentures 9ª Emissão (Serie2)</t>
  </si>
  <si>
    <t>Debentures 10ª Emissão</t>
  </si>
  <si>
    <t>Debentures 11ª Emissão (Serie 1)</t>
  </si>
  <si>
    <t>Debentures 11ª Emissão (Serie 2)</t>
  </si>
  <si>
    <t>Debentures 12ª Emissão</t>
  </si>
  <si>
    <t>RUTA DEL 
MAIPO</t>
  </si>
  <si>
    <t>Bono Serie C</t>
  </si>
  <si>
    <t>Bono Serie D</t>
  </si>
  <si>
    <t>Bono Serie E</t>
  </si>
  <si>
    <t>Bono Serie F</t>
  </si>
  <si>
    <t>Bono Serie A</t>
  </si>
  <si>
    <t>INTERCHILE</t>
  </si>
  <si>
    <t>Bono 144a Regs</t>
  </si>
  <si>
    <t>TOTAL BONOS</t>
  </si>
  <si>
    <t>(1) Bonos emitidos en PEN y se hizo un SWAP a USD con el Banco BBVA.</t>
  </si>
  <si>
    <t>(2) Bonos emitidos en USD y se hizo un SWAP a UF.</t>
  </si>
  <si>
    <t>(3) Opcion Call</t>
  </si>
  <si>
    <t>…</t>
  </si>
  <si>
    <t>Colombia</t>
  </si>
  <si>
    <r>
      <t>USD</t>
    </r>
    <r>
      <rPr>
        <sz val="10"/>
        <color theme="3"/>
        <rFont val="Tahoma"/>
        <family val="2"/>
      </rPr>
      <t xml:space="preserve"> (millones)</t>
    </r>
  </si>
  <si>
    <r>
      <t xml:space="preserve">COP </t>
    </r>
    <r>
      <rPr>
        <sz val="10"/>
        <color theme="3"/>
        <rFont val="Tahoma"/>
        <family val="2"/>
      </rPr>
      <t xml:space="preserve">(miles de millones) </t>
    </r>
  </si>
  <si>
    <t>Perú</t>
  </si>
  <si>
    <t>Brasil</t>
  </si>
  <si>
    <t>Chile</t>
  </si>
  <si>
    <r>
      <t>USD</t>
    </r>
    <r>
      <rPr>
        <b/>
        <sz val="10"/>
        <color theme="3"/>
        <rFont val="Tahoma"/>
        <family val="2"/>
      </rPr>
      <t xml:space="preserve"> (millones)</t>
    </r>
  </si>
  <si>
    <r>
      <t xml:space="preserve">COP </t>
    </r>
    <r>
      <rPr>
        <b/>
        <sz val="10"/>
        <color theme="3"/>
        <rFont val="Tahoma"/>
        <family val="2"/>
      </rPr>
      <t xml:space="preserve">(miles de millones) </t>
    </r>
  </si>
  <si>
    <t>Participación por negocios en deuda total</t>
  </si>
  <si>
    <t>Transmisión energía</t>
  </si>
  <si>
    <t xml:space="preserve">Vías </t>
  </si>
  <si>
    <t>Telco</t>
  </si>
  <si>
    <t>Cifras en millones de pesos</t>
  </si>
  <si>
    <t>CAPEX CONSOLIDADO</t>
  </si>
  <si>
    <t>XM</t>
  </si>
  <si>
    <t>SIR</t>
  </si>
  <si>
    <t>INTERNEXA</t>
  </si>
  <si>
    <t>Total Colombia</t>
  </si>
  <si>
    <t>INTERNEXA PERÚ</t>
  </si>
  <si>
    <t>ISA PERU</t>
  </si>
  <si>
    <t>Total Perú</t>
  </si>
  <si>
    <t>Filiales CTEEP</t>
  </si>
  <si>
    <t>Internexa Brasil</t>
  </si>
  <si>
    <t>Total Brasil</t>
  </si>
  <si>
    <t>Bolivia y Argentina</t>
  </si>
  <si>
    <t xml:space="preserve">ISA Bolivia </t>
  </si>
  <si>
    <t>Internexa Argentina</t>
  </si>
  <si>
    <t xml:space="preserve">Intervial </t>
  </si>
  <si>
    <t>Maipo</t>
  </si>
  <si>
    <t>Bosque</t>
  </si>
  <si>
    <t>Araucanía</t>
  </si>
  <si>
    <t>Ríos</t>
  </si>
  <si>
    <t>Loa</t>
  </si>
  <si>
    <t>Internexa Chile</t>
  </si>
  <si>
    <t>Kima Lo Aguirre</t>
  </si>
  <si>
    <t>Interchile</t>
  </si>
  <si>
    <t>Total Chile</t>
  </si>
  <si>
    <t>TOTAL</t>
  </si>
  <si>
    <r>
      <rPr>
        <sz val="20"/>
        <color theme="1"/>
        <rFont val="Tahoma"/>
        <family val="2"/>
      </rPr>
      <t>Normatividad principal y contratos asociados con la REMUNERACIÓN del Transporte de Energí</t>
    </r>
    <r>
      <rPr>
        <sz val="20"/>
        <color theme="1"/>
        <rFont val="Calibri"/>
        <family val="2"/>
        <scheme val="minor"/>
      </rPr>
      <t>a</t>
    </r>
  </si>
  <si>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</si>
  <si>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</si>
  <si>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</si>
  <si>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</si>
  <si>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</si>
  <si>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</si>
  <si>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</si>
  <si>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</si>
  <si>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</si>
  <si>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</si>
  <si>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</si>
  <si>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</si>
  <si>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</si>
  <si>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</si>
  <si>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</si>
  <si>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</si>
  <si>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</si>
  <si>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</si>
  <si>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</si>
  <si>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</si>
  <si>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</si>
  <si>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</si>
  <si>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</si>
  <si>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</si>
  <si>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</si>
  <si>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</si>
  <si>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</si>
  <si>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</si>
  <si>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</si>
  <si>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</si>
  <si>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</si>
  <si>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</si>
  <si>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</si>
  <si>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</si>
  <si>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</si>
  <si>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</si>
  <si>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</si>
  <si>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</si>
  <si>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</si>
  <si>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</si>
  <si>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</si>
  <si>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</si>
  <si>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</si>
  <si>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</si>
  <si>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</si>
  <si>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</si>
  <si>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</si>
  <si>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</si>
  <si>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</si>
  <si>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</si>
  <si>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</si>
  <si>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</si>
  <si>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</si>
  <si>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</si>
  <si>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</si>
  <si>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</si>
  <si>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</si>
  <si>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</si>
  <si>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</si>
  <si>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</si>
  <si>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</si>
  <si>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</si>
  <si>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</si>
  <si>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</si>
  <si>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</si>
  <si>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</si>
  <si>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</si>
  <si>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</si>
  <si>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</si>
  <si>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</si>
  <si>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</si>
  <si>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</si>
  <si>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</si>
  <si>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</si>
  <si>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</si>
  <si>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</si>
  <si>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</si>
  <si>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</si>
  <si>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</si>
  <si>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</si>
  <si>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</si>
  <si>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</si>
  <si>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</si>
  <si>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</si>
  <si>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</si>
  <si>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</si>
  <si>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</si>
  <si>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</si>
  <si>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</si>
  <si>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</si>
  <si>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</si>
  <si>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</si>
  <si>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</si>
  <si>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</si>
  <si>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</si>
  <si>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</si>
  <si>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</si>
  <si>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</si>
  <si>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</si>
  <si>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</si>
  <si>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</si>
  <si>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</si>
  <si>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</si>
  <si>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</si>
  <si>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</si>
  <si>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</si>
  <si>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</si>
  <si>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</si>
  <si>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</si>
  <si>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</si>
  <si>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</si>
  <si>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</si>
  <si>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</si>
  <si>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</si>
  <si>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</si>
  <si>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</si>
  <si>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</si>
  <si>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</si>
  <si>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</si>
  <si>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</si>
  <si>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</si>
  <si>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</si>
  <si>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</si>
  <si>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</si>
  <si>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</si>
  <si>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</si>
  <si>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</si>
  <si>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</si>
  <si>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</si>
  <si>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</si>
  <si>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</si>
  <si>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</si>
  <si>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</si>
  <si>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</si>
  <si>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</si>
  <si>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</si>
  <si>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</si>
  <si>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</si>
  <si>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</si>
  <si>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</si>
  <si>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</si>
  <si>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</si>
  <si>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</si>
  <si>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</si>
  <si>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</si>
  <si>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</si>
  <si>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</si>
  <si>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</si>
  <si>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</si>
  <si>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</si>
  <si>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</si>
  <si>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</si>
  <si>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</si>
  <si>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</si>
  <si>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</si>
  <si>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</si>
  <si>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</si>
  <si>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</si>
  <si>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</si>
  <si>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</si>
  <si>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</si>
  <si>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</si>
  <si>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</si>
  <si>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</si>
  <si>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</si>
  <si>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</si>
  <si>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</si>
  <si>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</si>
  <si>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</si>
  <si>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</si>
  <si>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</si>
  <si>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</si>
  <si>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</si>
  <si>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LEY DE ELECTRICIDAD 1604 DE 21 DE DICIEMBRE DE 1994</t>
  </si>
  <si>
    <t>AETN</t>
  </si>
  <si>
    <t>https://sawi.aetn.gob.bo/docfly/app/webroot/uploads/IMG-ML_LA-admin-2010-09-23-1604.pdf</t>
  </si>
  <si>
    <t>General - Marco normativo eléctrico boliviano</t>
  </si>
  <si>
    <t>Bolivia</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</si>
  <si>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</si>
  <si>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</si>
  <si>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</si>
  <si>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</si>
  <si>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</si>
  <si>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</si>
  <si>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</si>
  <si>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</si>
  <si>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</si>
  <si>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</si>
  <si>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</si>
  <si>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</si>
  <si>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</si>
  <si>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</si>
  <si>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</si>
  <si>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</si>
  <si>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</si>
  <si>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</si>
  <si>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</si>
  <si>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</si>
  <si>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</si>
  <si>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</si>
  <si>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</si>
  <si>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</si>
  <si>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</si>
  <si>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</si>
  <si>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</si>
  <si>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</si>
  <si>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</si>
  <si>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</si>
  <si>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</si>
  <si>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</si>
  <si>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</si>
  <si>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</si>
  <si>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</si>
  <si>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</si>
  <si>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</si>
  <si>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</si>
  <si>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</si>
  <si>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</si>
  <si>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</si>
  <si>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</si>
  <si>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</si>
  <si>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</si>
  <si>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</si>
  <si>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</si>
  <si>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</si>
  <si>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</si>
  <si>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</si>
  <si>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</si>
  <si>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</si>
  <si>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</si>
  <si>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</si>
  <si>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</si>
  <si>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</si>
  <si>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</si>
  <si>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</si>
  <si>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</si>
  <si>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</si>
  <si>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</si>
  <si>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</si>
  <si>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</si>
  <si>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</si>
  <si>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</si>
  <si>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</si>
  <si>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</si>
  <si>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</si>
  <si>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</si>
  <si>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</si>
  <si>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</si>
  <si>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</si>
  <si>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</si>
  <si>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</si>
  <si>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</si>
  <si>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</si>
  <si>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</si>
  <si>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</si>
  <si>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</si>
  <si>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</si>
  <si>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</si>
  <si>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</si>
  <si>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</si>
  <si>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</si>
  <si>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</si>
  <si>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</si>
  <si>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</si>
  <si>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Regulación y contratos asociados con concesiones viales</t>
  </si>
  <si>
    <t>Concesión</t>
  </si>
  <si>
    <t>Vínculo (Información pública)</t>
  </si>
  <si>
    <t>Descripción</t>
  </si>
  <si>
    <t xml:space="preserve">Costera </t>
  </si>
  <si>
    <t>https://www.contratos.gov.co/consultas/detalleProceso.do?numConstancia=13-19-1611882</t>
  </si>
  <si>
    <t>Contratos</t>
  </si>
  <si>
    <t>http://www.concesioncostera.com/index.php/proyecto/documentacion</t>
  </si>
  <si>
    <t>Informe anual</t>
  </si>
  <si>
    <t>Ruta del Maipo</t>
  </si>
  <si>
    <t>http://www.concesiones.cl/proyectos/Paginas/detalleExplotacion.aspx?item=36</t>
  </si>
  <si>
    <t>Descripción y remuneración</t>
  </si>
  <si>
    <t>http://www.cmfchile.cl/institucional/mercados/entidad.php?auth=&amp;send=&amp;mercado=V&amp;rut=96875230&amp;grupo=&amp;tipoentidad=RVEMI&amp;vig=VI&amp;row=AAAwy2ACTAAAAWeAAL&amp;control=svs&amp;pestania=1</t>
  </si>
  <si>
    <t>Informe anual, estados financieros</t>
  </si>
  <si>
    <t>Ruta del Bosque</t>
  </si>
  <si>
    <t>http://www.concesiones.cl/proyectos/Paginas/detalleExplotacion.aspx?item=29</t>
  </si>
  <si>
    <t>http://www.cmfchile.cl/institucional/mercados/entidad.php?auth=&amp;send=&amp;mercado=V&amp;rut=96843170&amp;grupo=&amp;tipoentidad=RVEMI&amp;vig=VI&amp;row=AAAwy2ACTAAABy9AAC&amp;control=svs&amp;pestania=1</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</si>
  <si>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</si>
  <si>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</si>
  <si>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</si>
  <si>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</si>
  <si>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</si>
  <si>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</si>
  <si>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</si>
  <si>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</si>
  <si>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</si>
  <si>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Todas las concesiones</t>
  </si>
  <si>
    <t>http://www.concesiones.cl/proyectos/Paginas/default.aspx</t>
  </si>
  <si>
    <t>Concesiones en operación, construcción, y ambos</t>
  </si>
  <si>
    <t>TMDE* RUTAS INTERVIAL</t>
  </si>
  <si>
    <t>Troncales</t>
  </si>
  <si>
    <t>Laterales</t>
  </si>
  <si>
    <t>RUTA DEL MAIPO</t>
  </si>
  <si>
    <t>RUTA DEL BOSQUE</t>
  </si>
  <si>
    <t>RUTA DE LA ARAUCANÍA</t>
  </si>
  <si>
    <t>RUTA DE LOS RÍOS</t>
  </si>
  <si>
    <t>*TMDE: Tráfico medio diario equivalente</t>
  </si>
  <si>
    <t>TMDE 2015- 2021 con base 365 días, excepto 2016 y 2020 los cuales están con base 366 días</t>
  </si>
  <si>
    <t>TPD** RUTA COSTERA</t>
  </si>
  <si>
    <t>MARAHUACO</t>
  </si>
  <si>
    <t>PUERTO COLOMBIA</t>
  </si>
  <si>
    <t>PAPIRO</t>
  </si>
  <si>
    <t>JUAN MINA + GALAPA</t>
  </si>
  <si>
    <t>**TPD: Tráfico Promedio Diario</t>
  </si>
  <si>
    <t>Dividendos recibidos por la matriz</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</si>
  <si>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</si>
  <si>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</si>
  <si>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</si>
  <si>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</si>
  <si>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</si>
  <si>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</si>
  <si>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</si>
  <si>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</si>
  <si>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</si>
  <si>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</si>
  <si>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CTEEP: 75% utilidad neta regulatoria</t>
  </si>
  <si>
    <t>PROYECTOS EN EJECUCIÓN TRANSPORTE DE ENERGÍA</t>
  </si>
  <si>
    <t>Nombre del proyecto</t>
  </si>
  <si>
    <t>Fecha PES (trimestre)</t>
  </si>
  <si>
    <t>Ampliación mando sincronizado Nuevo Cardones, Nuevo Maitencillo y Nuevo Pan de Azúcar</t>
  </si>
  <si>
    <t>Ampliación aumento de capacidad LT Maitencillo - Nueva Maitencillo</t>
  </si>
  <si>
    <t>Ampliación subestación Nuevo Pan de Azúcar</t>
  </si>
  <si>
    <t>UPME 07-2017 Sabanalarga - Bolívar 500 kV</t>
  </si>
  <si>
    <t>Conexión Parque Guayepo Solar a la subestación Sabanalarga 500 kV</t>
  </si>
  <si>
    <t>Conexión Windpeshi</t>
  </si>
  <si>
    <t>Conexión parque solar Portón del Sol</t>
  </si>
  <si>
    <t>2023 trim 3</t>
  </si>
  <si>
    <t>2023 trim 4*</t>
  </si>
  <si>
    <t>Ampliación Segundo circuito Copey - Cuestecitas 500 kV</t>
  </si>
  <si>
    <t>UPME 04-2019 Línea de transmisión La Loma - Sogamoso 500 kV</t>
  </si>
  <si>
    <t>UPME 03-2021 Subestación Carrieles 230 kV y LT asociadas</t>
  </si>
  <si>
    <t>2025 trim 1</t>
  </si>
  <si>
    <t>Ampliación FACTS circuitos Santa Marta - Termocol - Termoguajira 220 kV</t>
  </si>
  <si>
    <t>Conexión planta solar Nabusimake en subestación Fundación</t>
  </si>
  <si>
    <t>Ampliación subestación Copey</t>
  </si>
  <si>
    <t>Ampliación Smart Valves Nueva Barranquilla y Sabanalarga</t>
  </si>
  <si>
    <t>2024 trim 2</t>
  </si>
  <si>
    <t>2025 trim 4</t>
  </si>
  <si>
    <t>2026 trim 1</t>
  </si>
  <si>
    <t>2026 trim 2</t>
  </si>
  <si>
    <t>COYA Enlace Colcabamba - Campas - Carapongo 500 kV</t>
  </si>
  <si>
    <t>Conexión Puerto Chancay</t>
  </si>
  <si>
    <t>Subestación Chincha Nueva</t>
  </si>
  <si>
    <t>Subestación Nazca Nueva</t>
  </si>
  <si>
    <t>Refuerzo 2 - Ampliación subestación Planicie</t>
  </si>
  <si>
    <t>Refuerzo 1 - cambio de tensión Chilca - Planicie - Carabayllo</t>
  </si>
  <si>
    <t>2024 trim 1</t>
  </si>
  <si>
    <t>*En gestión de ampliación de plazo</t>
  </si>
  <si>
    <t>Energía</t>
  </si>
  <si>
    <t>Vías</t>
  </si>
  <si>
    <t>Perú y Bolivia</t>
  </si>
  <si>
    <t>Año finalización</t>
  </si>
  <si>
    <t>Inicio estimado pago impuestos</t>
  </si>
  <si>
    <t>2029</t>
  </si>
  <si>
    <t>2031 contrato original
2052 vence la última concesión</t>
  </si>
  <si>
    <t>Ruta de los Rios</t>
  </si>
  <si>
    <t>Junio 2025</t>
  </si>
  <si>
    <t>Concesión original 2033</t>
  </si>
  <si>
    <t>Orazul</t>
  </si>
  <si>
    <t>Vida infinita</t>
  </si>
  <si>
    <t>2020 contrato original
2021-2038 solo AOM</t>
  </si>
  <si>
    <t>TAESA</t>
  </si>
  <si>
    <t>39 concesiones, vencen entre 2032-2049</t>
  </si>
  <si>
    <t>Costera</t>
  </si>
  <si>
    <t>Serra do Japi</t>
  </si>
  <si>
    <t>IEMG</t>
  </si>
  <si>
    <t>IE PINHEIROS</t>
  </si>
  <si>
    <t>IE SUL</t>
  </si>
  <si>
    <t>EVRECY</t>
  </si>
  <si>
    <t>PIRATININGA- PBTE</t>
  </si>
  <si>
    <t>IE ITAÚNAS</t>
  </si>
  <si>
    <t>IE TIBAGI</t>
  </si>
  <si>
    <t>IE ITAQUERÉ</t>
  </si>
  <si>
    <t>IE ITAPURA</t>
  </si>
  <si>
    <t>IE AUGAPEI</t>
  </si>
  <si>
    <t>IE BIGACÚ</t>
  </si>
  <si>
    <t>IE RIACHO GRANDE</t>
  </si>
  <si>
    <t>IE MADEIRA</t>
  </si>
  <si>
    <t>IE GARANHUS</t>
  </si>
  <si>
    <t>IE PARAGUACU</t>
  </si>
  <si>
    <t>IE AIMORÉS</t>
  </si>
  <si>
    <t>IE IVAÍ</t>
  </si>
  <si>
    <t>Piraquê</t>
  </si>
  <si>
    <t>Jacarandá</t>
  </si>
  <si>
    <t>Tipo de 
Control</t>
  </si>
  <si>
    <t>C</t>
  </si>
  <si>
    <t>Control</t>
  </si>
  <si>
    <t>CC</t>
  </si>
  <si>
    <t>Control Compartido</t>
  </si>
  <si>
    <t>IS</t>
  </si>
  <si>
    <t>Influencia Significativa</t>
  </si>
  <si>
    <t>F</t>
  </si>
  <si>
    <t>Fondos</t>
  </si>
  <si>
    <t>IF</t>
  </si>
  <si>
    <t>Instrumento Financiero</t>
  </si>
  <si>
    <t>ISA Matriz</t>
  </si>
  <si>
    <t>Total empresas del Grupo</t>
  </si>
  <si>
    <t>Negocio</t>
  </si>
  <si>
    <t>SociedadGL</t>
  </si>
  <si>
    <t>% Directo ISA</t>
  </si>
  <si>
    <t>% Indirecto a través de Otras Filiales</t>
  </si>
  <si>
    <t>% Efectivo ISA</t>
  </si>
  <si>
    <t>VIAS</t>
  </si>
  <si>
    <t>COL</t>
  </si>
  <si>
    <t>AM - INTERVIAL COLOMBIA S.A.S.</t>
  </si>
  <si>
    <t>CHI</t>
  </si>
  <si>
    <t>ARAU - Ruta de la Araucanía Sociedad Concesionaria S.A.</t>
  </si>
  <si>
    <t>INTE - Intervial Chile S.A.</t>
  </si>
  <si>
    <t>TOLT - ISA Inversiones Tolten Ltda.</t>
  </si>
  <si>
    <t>PATRIMONIO AUTONOMO</t>
  </si>
  <si>
    <t>BRA</t>
  </si>
  <si>
    <t>ASSIS - Fundo de Investimento Assis</t>
  </si>
  <si>
    <t>CTEP - CTEEP-Companhia de Transmissão de Energia Elétrica Paulista</t>
  </si>
  <si>
    <t>TELECOMUNICACIONES</t>
  </si>
  <si>
    <t>USA</t>
  </si>
  <si>
    <t>ATP - ATP TOWER HOLDINGS LLC</t>
  </si>
  <si>
    <t>BANDE - Fundo de Investimento Referenciado DI Bandeirantes</t>
  </si>
  <si>
    <t>IEEV - Evrecy Participações LTDA</t>
  </si>
  <si>
    <t>IEJA - Interligação Elétrica Serra do Japi S.A.</t>
  </si>
  <si>
    <t>IEPI - Interligação Elétrica Pinheiros S.A.</t>
  </si>
  <si>
    <t>BARRA - Fundo de Investimento Barra Bonita Renda Fixa Referenciado</t>
  </si>
  <si>
    <t>IEAG - Interligação Elétrica Aguapeí S.A.</t>
  </si>
  <si>
    <t>IEMG - Interligação Elétrica de Minas Gerais S.A.</t>
  </si>
  <si>
    <t>IENNC - Interligação Elétrica Norte e Nordeste S.A.</t>
  </si>
  <si>
    <t>IESUC - Interligação Elétrica Sul S.A.</t>
  </si>
  <si>
    <t>IETQ - Interligação Elétrica Itaquerê S.A.</t>
  </si>
  <si>
    <t>BOSQ - Ruta del Bosque Sociedad Concesionaria S.A.</t>
  </si>
  <si>
    <t>CABA - Concesión Costera-Cartagena-Barranquilla S.A.S</t>
  </si>
  <si>
    <t>INCO - ISA Inversiones Costera Chile SPA</t>
  </si>
  <si>
    <t>OTROS NEGOCIOS</t>
  </si>
  <si>
    <t>BERMUDAS</t>
  </si>
  <si>
    <t>CAUT - Linear Systems RE Ltd.</t>
  </si>
  <si>
    <t>CRCC - Camara de Riesgo Central de Contraparte Colombia</t>
  </si>
  <si>
    <t>XM - XM Compañía de Expertos en Mercados S.A. E.S.P</t>
  </si>
  <si>
    <t>ENERGÍA</t>
  </si>
  <si>
    <t>ISAK - ISA Capital do Brasil</t>
  </si>
  <si>
    <t>CTMP - Consorcio Transmantaro</t>
  </si>
  <si>
    <t>DEVX - Derivex S.A.</t>
  </si>
  <si>
    <t>TELE - INTERNEXA S.A.</t>
  </si>
  <si>
    <t>OTRO</t>
  </si>
  <si>
    <t>EPR - Empresa Propietaria de la Red –EPR–</t>
  </si>
  <si>
    <t>ERB1 - Interligação Elétrica Ivaí S.A</t>
  </si>
  <si>
    <t>ICPC - Interconexión Eléctrica Colombia Panamá S.A.S E.S.P</t>
  </si>
  <si>
    <t>PANAMA</t>
  </si>
  <si>
    <t>ICPP - Interconexión Eléctrica Colombia Panamá S.A</t>
  </si>
  <si>
    <t>IEAI - Interligação Elétrica Aimorés S.A.</t>
  </si>
  <si>
    <t>IEGA - Interligação Elétrica Garanhuns S.A.</t>
  </si>
  <si>
    <t>IEIT - Interligação Elétrica Itaúnes S.A.</t>
  </si>
  <si>
    <t>IEJ1 - Interligação Elétrica Biguaçu S.A</t>
  </si>
  <si>
    <t>IEJ7 - Interligação Elétrica Riacho Grande</t>
  </si>
  <si>
    <t>IEMA - Interligação Elétrica do Madeira S.A.</t>
  </si>
  <si>
    <t>IEPG - Interligação Elétrica Paraguaçu S.A.</t>
  </si>
  <si>
    <t>IETG - Interligação Elétrica Tibagi S.A.</t>
  </si>
  <si>
    <t>IETP - Interligação Elétrica Itapura S.A.</t>
  </si>
  <si>
    <t>VEHICULO</t>
  </si>
  <si>
    <t>INCH - ISA Inversiones Chile Ltda.</t>
  </si>
  <si>
    <t>INVI - Interconexiones Viales SpA</t>
  </si>
  <si>
    <t>ISA BOLIVIA</t>
  </si>
  <si>
    <t>ISAB - ISA Bolivia</t>
  </si>
  <si>
    <t>TRAN - Transelca S.A. E. S. P.</t>
  </si>
  <si>
    <t>ISAI - ISA Investimentos e Participações LTDA</t>
  </si>
  <si>
    <t>ISAP - ISA Perú</t>
  </si>
  <si>
    <t>ITCH - Interchile</t>
  </si>
  <si>
    <t>ITCO - ISA INTERCOLOMBIA S.A. E.S.P</t>
  </si>
  <si>
    <t>PDI - Proyectos de Infraestructura del Perú</t>
  </si>
  <si>
    <t>ARGENTINA</t>
  </si>
  <si>
    <t>ITXAR - Transamerican Telecomunication S.A.</t>
  </si>
  <si>
    <t>TELP - Internexa Perú</t>
  </si>
  <si>
    <t>KIMA -  CONEXION KIMAL LO AGUIRRE S.A</t>
  </si>
  <si>
    <t>MAIP - Ruta del Maipo Sociedad Concesionaria S.A.</t>
  </si>
  <si>
    <t>MAUL - Ruta del Maule Sociedad Concesionaria S.A.</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</si>
  <si>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</si>
  <si>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</si>
  <si>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</si>
  <si>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</si>
  <si>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</si>
  <si>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</si>
  <si>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</si>
  <si>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</si>
  <si>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TELH - Internexa Participações</t>
  </si>
  <si>
    <t>TELCH - Internexa Chile</t>
  </si>
  <si>
    <t>ECUADOR</t>
  </si>
  <si>
    <t>TNEX - Transnexa S.A.</t>
  </si>
  <si>
    <t>XAVAN - Fundo de Investimento Xavantes Referenciado DI</t>
  </si>
  <si>
    <t>4Q22</t>
  </si>
  <si>
    <t>4T22</t>
  </si>
  <si>
    <t xml:space="preserve"> -   </t>
  </si>
  <si>
    <t xml:space="preserve">-   </t>
  </si>
  <si>
    <t>SOFR(6M)</t>
  </si>
  <si>
    <t>2025 trim 2*</t>
  </si>
  <si>
    <t>2023 trim 4</t>
  </si>
  <si>
    <t>Ampliación 21</t>
  </si>
  <si>
    <t>2024 trim 3</t>
  </si>
  <si>
    <t>IEJ6 - Interligação Elétrica JAGUAR 6 S.A.</t>
  </si>
  <si>
    <t>IEJ8 - Interligação Elétrica JAGUAR 8 S.A.</t>
  </si>
  <si>
    <t>IEJ9 - Interligação Elétrica JAGUAR 9 S.A.</t>
  </si>
  <si>
    <t>ISAV - ISA Inversiones Chile Vías SpA</t>
  </si>
  <si>
    <t>RUTA COSTERA</t>
  </si>
  <si>
    <t>Payout ISA: Alrededor 40%</t>
  </si>
  <si>
    <t>1Q23</t>
  </si>
  <si>
    <t>1T23</t>
  </si>
  <si>
    <t>I_CTEP - CTEEP -Companhia de Transmissão de Energia Elétrica Paulista</t>
  </si>
  <si>
    <t>I_IEEV - Interligação Elétrica Evrecy S.A.</t>
  </si>
  <si>
    <t>I_IEJA - Interligação Elétrica Serra do Japi S.A.</t>
  </si>
  <si>
    <t>I_IEPI - Interligação Elétrica Pinheiros S.A.</t>
  </si>
  <si>
    <t>I_IEAG - Interligação Elétrica Aguapeí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</si>
  <si>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</si>
  <si>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</si>
  <si>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</si>
  <si>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</si>
  <si>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</si>
  <si>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</si>
  <si>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INCE - ISA Inversiones Chile Ltda.</t>
  </si>
  <si>
    <t>I_TELE - INTERNEXA S.A</t>
  </si>
  <si>
    <t>INCE - ISA Inversiones Chile SpA</t>
  </si>
  <si>
    <t>I_IEIT - Interligação Elétrica Itaúnas S.A.</t>
  </si>
  <si>
    <t>I_IEJ1 - Interligação Elétrica Biguaçu S.A.</t>
  </si>
  <si>
    <t>I_IEJ6 - Interligação Elétrica JAGUAR 6 S.A.</t>
  </si>
  <si>
    <t>I_IEJ7 - Interligação Elétrica Riacho Grande</t>
  </si>
  <si>
    <t>I_IEJ8 - Interligação Elétrica JAGUAR 8 S.A.</t>
  </si>
  <si>
    <t>I_IEJ9 - Interligação Elétrica JAGUAR 9 S.A.</t>
  </si>
  <si>
    <t>ECD</t>
  </si>
  <si>
    <t>Banco de Chile</t>
  </si>
  <si>
    <t>Banco Estado</t>
  </si>
  <si>
    <t>Banco del Estado</t>
  </si>
  <si>
    <t>Debentures 13ª Emissão</t>
  </si>
  <si>
    <t>TOTAL 
2023-2028</t>
  </si>
  <si>
    <t>Enero 2033</t>
  </si>
  <si>
    <t>Febrero 2026</t>
  </si>
  <si>
    <t>Mayo 2049</t>
  </si>
  <si>
    <t>Sept 2042</t>
  </si>
  <si>
    <t>2024 trim 1*</t>
  </si>
  <si>
    <t>2023 trim 3*</t>
  </si>
  <si>
    <t>2026</t>
  </si>
  <si>
    <t>2045</t>
  </si>
  <si>
    <t>2033</t>
  </si>
  <si>
    <t>Actualmente</t>
  </si>
  <si>
    <t>Otros activos no financieros</t>
  </si>
  <si>
    <t>2T23</t>
  </si>
  <si>
    <t>2Q23</t>
  </si>
  <si>
    <t xml:space="preserve">Notas Promisorias </t>
  </si>
  <si>
    <t xml:space="preserve">Banco Itaú </t>
  </si>
  <si>
    <t xml:space="preserve">Banco BCI </t>
  </si>
  <si>
    <t>1T2023</t>
  </si>
  <si>
    <t>2T2023</t>
  </si>
  <si>
    <t>Conexión subestación Caño Limón</t>
  </si>
  <si>
    <t>UPME 09-2016 Línea de Transmisión Copey - Cuestecitas - Fundación</t>
  </si>
  <si>
    <t>Conexión Oleoducto de Colombia en subestación Caucasia 110 kV</t>
  </si>
  <si>
    <t>Incremento de confiabilidad Refinería de Barrancabermeja</t>
  </si>
  <si>
    <t>2025 trim 2</t>
  </si>
  <si>
    <t>Conexión parques eólicos Alpha y Beta la subestación Nueva Cuestecitas 500 kV</t>
  </si>
  <si>
    <t>SmartValves Termoguajira 220 kV Etapa 2</t>
  </si>
  <si>
    <t>MINUANO (L1)</t>
  </si>
  <si>
    <t>TRIANGULO MINEIRO (L7)</t>
  </si>
  <si>
    <t>RIACHO GRANDE</t>
  </si>
  <si>
    <t>PIRAQUÉ</t>
  </si>
  <si>
    <t>JACARANDÁ</t>
  </si>
  <si>
    <t>YANA Enlace Campas - Yaros y subestaciones Asociadas 500 kV[6]</t>
  </si>
  <si>
    <t>En revisión</t>
  </si>
  <si>
    <t>IE ITAÚNAS (L21)</t>
  </si>
  <si>
    <t>2025 trim 3</t>
  </si>
  <si>
    <t>2026 trim 1*</t>
  </si>
  <si>
    <t>2025 Trim 1</t>
  </si>
  <si>
    <t>Conexión San Garbeil en subestación Chilota 220 kV</t>
  </si>
  <si>
    <t>Proyectos energizados 2023 Trimestre 2</t>
  </si>
  <si>
    <t>Sociedad Indirecta</t>
  </si>
  <si>
    <t>N°</t>
  </si>
  <si>
    <t>Jun-2023
(moneda del crédito)</t>
  </si>
  <si>
    <t>Jun-2022
(millones de COP)</t>
  </si>
  <si>
    <t>Jun-2022
(miles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</si>
</sst>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 numFmtId="220" formatCode="0.000000%"/>
  </numFmts>
  <fonts count="210">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sz val="12"/>
      <color rgb="FF000000"/>
      <name val="Calibri"/>
      <family val="2"/>
    </font>
    <font>
      <b/>
      <sz val="20"/>
      <color rgb="FF000000"/>
      <name val="Calibri"/>
      <family val="2"/>
    </font>
    <font>
      <sz val="11"/>
      <color theme="0" tint="-0.24997711111789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8"/>
      <color theme="1"/>
      <name val="Arial"/>
      <family val="2"/>
    </font>
    <font>
      <b/>
      <sz val="8"/>
      <color theme="1"/>
      <name val="Arial"/>
      <family val="2"/>
    </font>
    <font>
      <sz val="11"/>
      <color theme="1"/>
      <name val="Calibri"/>
      <family val="2"/>
    </font>
    <font>
      <u/>
      <sz val="12"/>
      <color theme="10"/>
      <name val="Calibri"/>
      <family val="2"/>
      <scheme val="minor"/>
    </font>
    <font>
      <b/>
      <i/>
      <sz val="12"/>
      <name val="Tahoma"/>
      <family val="2"/>
    </font>
    <font>
      <b/>
      <sz val="10"/>
      <color theme="3"/>
      <name val="Tahoma"/>
      <family val="2"/>
    </font>
    <font>
      <b/>
      <u/>
      <sz val="12"/>
      <color theme="1"/>
      <name val="Calibri"/>
      <family val="2"/>
      <scheme val="minor"/>
    </font>
    <font>
      <sz val="11"/>
      <color rgb="FFFF0000"/>
      <name val="Calibri"/>
      <family val="2"/>
      <scheme val="minor"/>
    </font>
    <font>
      <sz val="11"/>
      <color rgb="FFFFFFFF"/>
      <name val="Tahoma"/>
      <family val="2"/>
    </font>
    <font>
      <sz val="11"/>
      <color rgb="FF003087"/>
      <name val="Calibri"/>
      <family val="2"/>
      <scheme val="minor"/>
    </font>
    <font>
      <b/>
      <sz val="10"/>
      <color rgb="FFFFFFFF"/>
      <name val="Tahoma"/>
      <family val="2"/>
    </font>
    <font>
      <sz val="10"/>
      <name val="Arial"/>
      <family val="2"/>
    </font>
    <font>
      <sz val="8"/>
      <color theme="1"/>
      <name val="Tahoma"/>
      <family val="2"/>
    </font>
  </fonts>
  <fills count="135">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
      <patternFill patternType="solid">
        <fgColor rgb="FF002060"/>
        <bgColor indexed="39"/>
      </patternFill>
    </fill>
    <fill>
      <patternFill patternType="solid">
        <fgColor theme="4" tint="-0.499984740745262"/>
        <bgColor indexed="64"/>
      </patternFill>
    </fill>
    <fill>
      <patternFill patternType="solid">
        <fgColor indexed="9"/>
        <bgColor indexed="64"/>
      </patternFill>
    </fill>
    <fill>
      <patternFill patternType="solid">
        <fgColor rgb="FF00296A"/>
        <bgColor indexed="64"/>
      </patternFill>
    </fill>
    <fill>
      <patternFill patternType="solid">
        <fgColor rgb="FF05376A"/>
        <bgColor rgb="FF000000"/>
      </patternFill>
    </fill>
    <fill>
      <patternFill patternType="solid">
        <fgColor rgb="FF5BC6E8"/>
        <bgColor indexed="64"/>
      </patternFill>
    </fill>
    <fill>
      <patternFill patternType="mediumGray">
        <fgColor rgb="FFFFFFFF"/>
        <bgColor rgb="FFFFFFFF"/>
      </patternFill>
    </fill>
    <fill>
      <patternFill patternType="solid">
        <fgColor theme="4" tint="-0.499984740745262"/>
        <bgColor rgb="FF000000"/>
      </patternFill>
    </fill>
    <fill>
      <patternFill patternType="solid">
        <fgColor rgb="FF002060"/>
        <bgColor rgb="FF000000"/>
      </patternFill>
    </fill>
    <fill>
      <patternFill patternType="solid">
        <fgColor rgb="FF595959"/>
        <bgColor rgb="FF000000"/>
      </patternFill>
    </fill>
    <fill>
      <patternFill patternType="solid">
        <fgColor theme="0"/>
        <bgColor rgb="FF000000"/>
      </patternFill>
    </fill>
    <fill>
      <patternFill patternType="solid">
        <fgColor rgb="FF808080"/>
        <bgColor rgb="FF000000"/>
      </patternFill>
    </fill>
  </fills>
  <borders count="129">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rgb="FFD0CECE"/>
      </top>
      <bottom style="thin">
        <color rgb="FFD0CECE"/>
      </bottom>
      <diagonal/>
    </border>
    <border>
      <left/>
      <right/>
      <top style="thin">
        <color indexed="64"/>
      </top>
      <bottom style="thin">
        <color indexed="64"/>
      </bottom>
      <diagonal/>
    </border>
    <border>
      <left/>
      <right/>
      <top/>
      <bottom style="thin">
        <color auto="1"/>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right/>
      <top/>
      <bottom style="thin">
        <color theme="0" tint="-0.2499465926084170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op>
      <bottom style="thin">
        <color auto="1"/>
      </bottom>
      <diagonal/>
    </border>
    <border>
      <left/>
      <right style="thin">
        <color theme="0"/>
      </right>
      <top style="thin">
        <color theme="0"/>
      </top>
      <bottom style="thin">
        <color auto="1"/>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bottom style="medium">
        <color rgb="FFD0CECE"/>
      </bottom>
      <diagonal/>
    </border>
    <border>
      <left/>
      <right/>
      <top style="medium">
        <color rgb="FFD0CECE"/>
      </top>
      <bottom style="medium">
        <color rgb="FFD0CECE"/>
      </bottom>
      <diagonal/>
    </border>
    <border>
      <left/>
      <right/>
      <top style="thin">
        <color rgb="FF00B0F0"/>
      </top>
      <bottom/>
      <diagonal/>
    </border>
    <border>
      <left/>
      <right/>
      <top style="medium">
        <color rgb="FFD0CECE"/>
      </top>
      <bottom/>
      <diagonal/>
    </border>
  </borders>
  <cellStyleXfs count="7881">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8" fillId="44" borderId="0">
      <alignment horizontal="left"/>
    </xf>
    <xf numFmtId="0" fontId="41" fillId="43" borderId="0"/>
    <xf numFmtId="41" fontId="1" fillId="0" borderId="0" applyFont="0" applyFill="0" applyBorder="0" applyAlignment="0" applyProtection="0"/>
    <xf numFmtId="0" fontId="43" fillId="45" borderId="43" applyNumberFormat="0" applyAlignment="0" applyProtection="0">
      <alignment horizontal="left" vertical="center" indent="1"/>
    </xf>
    <xf numFmtId="180" fontId="44" fillId="0" borderId="44" applyNumberFormat="0" applyProtection="0">
      <alignment horizontal="right" vertical="center"/>
    </xf>
    <xf numFmtId="180" fontId="43" fillId="0" borderId="45" applyNumberFormat="0" applyProtection="0">
      <alignment horizontal="right" vertical="center"/>
    </xf>
    <xf numFmtId="0" fontId="45" fillId="2" borderId="45" applyNumberFormat="0" applyAlignment="0" applyProtection="0">
      <alignment horizontal="left" vertical="center" indent="1"/>
    </xf>
    <xf numFmtId="0" fontId="45" fillId="46" borderId="45" applyNumberFormat="0" applyAlignment="0" applyProtection="0">
      <alignment horizontal="left" vertical="center" indent="1"/>
    </xf>
    <xf numFmtId="180" fontId="44" fillId="47" borderId="44" applyNumberFormat="0" applyBorder="0" applyProtection="0">
      <alignment horizontal="right" vertical="center"/>
    </xf>
    <xf numFmtId="0" fontId="45" fillId="2" borderId="45" applyNumberFormat="0" applyAlignment="0" applyProtection="0">
      <alignment horizontal="left" vertical="center" indent="1"/>
    </xf>
    <xf numFmtId="180" fontId="43" fillId="46" borderId="45" applyNumberFormat="0" applyProtection="0">
      <alignment horizontal="right" vertical="center"/>
    </xf>
    <xf numFmtId="180" fontId="43" fillId="47" borderId="45" applyNumberFormat="0" applyBorder="0" applyProtection="0">
      <alignment horizontal="right" vertical="center"/>
    </xf>
    <xf numFmtId="180" fontId="46" fillId="48" borderId="46" applyNumberFormat="0" applyBorder="0" applyAlignment="0" applyProtection="0">
      <alignment horizontal="right" vertical="center" indent="1"/>
    </xf>
    <xf numFmtId="180" fontId="47" fillId="49" borderId="46" applyNumberFormat="0" applyBorder="0" applyAlignment="0" applyProtection="0">
      <alignment horizontal="right" vertical="center" indent="1"/>
    </xf>
    <xf numFmtId="180" fontId="47" fillId="50" borderId="46" applyNumberFormat="0" applyBorder="0" applyAlignment="0" applyProtection="0">
      <alignment horizontal="right" vertical="center" indent="1"/>
    </xf>
    <xf numFmtId="180" fontId="48" fillId="51" borderId="46" applyNumberFormat="0" applyBorder="0" applyAlignment="0" applyProtection="0">
      <alignment horizontal="right" vertical="center" indent="1"/>
    </xf>
    <xf numFmtId="180" fontId="48" fillId="52" borderId="46" applyNumberFormat="0" applyBorder="0" applyAlignment="0" applyProtection="0">
      <alignment horizontal="right" vertical="center" indent="1"/>
    </xf>
    <xf numFmtId="180" fontId="48" fillId="53" borderId="46" applyNumberFormat="0" applyBorder="0" applyAlignment="0" applyProtection="0">
      <alignment horizontal="right" vertical="center" indent="1"/>
    </xf>
    <xf numFmtId="180" fontId="49" fillId="54" borderId="46" applyNumberFormat="0" applyBorder="0" applyAlignment="0" applyProtection="0">
      <alignment horizontal="right" vertical="center" indent="1"/>
    </xf>
    <xf numFmtId="180" fontId="49" fillId="55" borderId="46" applyNumberFormat="0" applyBorder="0" applyAlignment="0" applyProtection="0">
      <alignment horizontal="right" vertical="center" indent="1"/>
    </xf>
    <xf numFmtId="180" fontId="49" fillId="56" borderId="46" applyNumberFormat="0" applyBorder="0" applyAlignment="0" applyProtection="0">
      <alignment horizontal="right" vertical="center" indent="1"/>
    </xf>
    <xf numFmtId="0" fontId="50" fillId="0" borderId="43" applyNumberFormat="0" applyFont="0" applyFill="0" applyAlignment="0" applyProtection="0"/>
    <xf numFmtId="180" fontId="44" fillId="57" borderId="43" applyNumberFormat="0" applyAlignment="0" applyProtection="0">
      <alignment horizontal="left" vertical="center" indent="1"/>
    </xf>
    <xf numFmtId="0" fontId="43" fillId="45" borderId="45" applyNumberFormat="0" applyAlignment="0" applyProtection="0">
      <alignment horizontal="left" vertical="center" indent="1"/>
    </xf>
    <xf numFmtId="0" fontId="45" fillId="58" borderId="43" applyNumberFormat="0" applyAlignment="0" applyProtection="0">
      <alignment horizontal="left" vertical="center" indent="1"/>
    </xf>
    <xf numFmtId="0" fontId="45" fillId="59" borderId="43" applyNumberFormat="0" applyAlignment="0" applyProtection="0">
      <alignment horizontal="left" vertical="center" indent="1"/>
    </xf>
    <xf numFmtId="0" fontId="45" fillId="60" borderId="43" applyNumberFormat="0" applyAlignment="0" applyProtection="0">
      <alignment horizontal="left" vertical="center" indent="1"/>
    </xf>
    <xf numFmtId="0" fontId="45" fillId="47" borderId="43" applyNumberFormat="0" applyAlignment="0" applyProtection="0">
      <alignment horizontal="left" vertical="center" indent="1"/>
    </xf>
    <xf numFmtId="0" fontId="45" fillId="46" borderId="45" applyNumberFormat="0" applyAlignment="0" applyProtection="0">
      <alignment horizontal="left" vertical="center" indent="1"/>
    </xf>
    <xf numFmtId="0" fontId="51" fillId="0" borderId="47" applyNumberFormat="0" applyFill="0" applyBorder="0" applyAlignment="0" applyProtection="0"/>
    <xf numFmtId="0" fontId="52" fillId="0" borderId="47" applyNumberFormat="0" applyBorder="0" applyAlignment="0" applyProtection="0"/>
    <xf numFmtId="0" fontId="51" fillId="2" borderId="45" applyNumberFormat="0" applyAlignment="0" applyProtection="0">
      <alignment horizontal="left" vertical="center" indent="1"/>
    </xf>
    <xf numFmtId="0" fontId="51" fillId="2" borderId="45" applyNumberFormat="0" applyAlignment="0" applyProtection="0">
      <alignment horizontal="left" vertical="center" indent="1"/>
    </xf>
    <xf numFmtId="0" fontId="51" fillId="46" borderId="45" applyNumberFormat="0" applyAlignment="0" applyProtection="0">
      <alignment horizontal="left" vertical="center" indent="1"/>
    </xf>
    <xf numFmtId="180" fontId="53" fillId="46" borderId="45" applyNumberFormat="0" applyProtection="0">
      <alignment horizontal="right" vertical="center"/>
    </xf>
    <xf numFmtId="180" fontId="54" fillId="47" borderId="44" applyNumberFormat="0" applyBorder="0" applyProtection="0">
      <alignment horizontal="right" vertical="center"/>
    </xf>
    <xf numFmtId="180" fontId="53" fillId="47" borderId="45" applyNumberFormat="0" applyBorder="0" applyProtection="0">
      <alignment horizontal="right" vertical="center"/>
    </xf>
    <xf numFmtId="180" fontId="44" fillId="0" borderId="44" applyNumberFormat="0" applyFill="0" applyBorder="0" applyAlignment="0" applyProtection="0">
      <alignment horizontal="right" vertical="center"/>
    </xf>
    <xf numFmtId="180" fontId="44" fillId="0" borderId="44"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5" fillId="0" borderId="0">
      <alignment horizontal="right" vertical="center"/>
    </xf>
    <xf numFmtId="0" fontId="42" fillId="61" borderId="49" applyNumberFormat="0" applyAlignment="0" applyProtection="0">
      <alignment horizontal="left" vertical="center" indent="1"/>
    </xf>
    <xf numFmtId="180" fontId="57" fillId="0" borderId="44" applyNumberFormat="0" applyProtection="0">
      <alignment horizontal="right" vertical="center"/>
    </xf>
    <xf numFmtId="180" fontId="56" fillId="62" borderId="45" applyNumberFormat="0" applyProtection="0">
      <alignment horizontal="right" vertical="center"/>
    </xf>
    <xf numFmtId="0" fontId="50" fillId="0" borderId="49" applyNumberFormat="0" applyFont="0" applyFill="0" applyAlignment="0" applyProtection="0"/>
    <xf numFmtId="180" fontId="57" fillId="0" borderId="49" applyNumberFormat="0" applyAlignment="0" applyProtection="0">
      <alignment horizontal="left" vertical="center" indent="1"/>
    </xf>
    <xf numFmtId="0" fontId="56" fillId="63" borderId="45" applyNumberFormat="0" applyAlignment="0" applyProtection="0">
      <alignment horizontal="left" vertical="center" indent="1"/>
    </xf>
    <xf numFmtId="0" fontId="42" fillId="61" borderId="48" applyNumberFormat="0" applyAlignment="0" applyProtection="0">
      <alignment horizontal="left" vertical="center" indent="1"/>
    </xf>
    <xf numFmtId="0" fontId="39" fillId="61" borderId="43"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4" fillId="57" borderId="43" applyNumberFormat="0" applyAlignment="0" applyProtection="0">
      <alignment horizontal="left" vertical="center" indent="1"/>
    </xf>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58" fillId="0" borderId="0">
      <protection locked="0"/>
    </xf>
    <xf numFmtId="182" fontId="58" fillId="0" borderId="0">
      <protection locked="0"/>
    </xf>
    <xf numFmtId="0" fontId="1" fillId="0" borderId="0"/>
    <xf numFmtId="0" fontId="1" fillId="0" borderId="0"/>
    <xf numFmtId="9" fontId="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2" fillId="0" borderId="0" applyFont="0" applyFill="0" applyBorder="0" applyAlignment="0" applyProtection="0"/>
    <xf numFmtId="187" fontId="62" fillId="0" borderId="0" applyFont="0" applyFill="0" applyBorder="0" applyAlignment="0" applyProtection="0"/>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64" borderId="0" applyNumberFormat="0" applyBorder="0" applyAlignment="0" applyProtection="0"/>
    <xf numFmtId="0" fontId="59" fillId="65" borderId="0" applyNumberFormat="0" applyBorder="0" applyAlignment="0" applyProtection="0"/>
    <xf numFmtId="0" fontId="59"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64" fillId="70"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37" fillId="27"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1"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1"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5" fillId="64" borderId="0" applyNumberFormat="0" applyBorder="0" applyAlignment="0" applyProtection="0"/>
    <xf numFmtId="0" fontId="66" fillId="65" borderId="0" applyNumberFormat="0" applyBorder="0" applyAlignment="0" applyProtection="0"/>
    <xf numFmtId="0" fontId="64" fillId="71" borderId="0" applyNumberFormat="0" applyBorder="0" applyAlignment="0" applyProtection="0"/>
    <xf numFmtId="0" fontId="1" fillId="33" borderId="0" applyNumberFormat="0" applyBorder="0" applyAlignment="0" applyProtection="0"/>
    <xf numFmtId="0" fontId="66" fillId="66" borderId="0" applyNumberFormat="0" applyBorder="0" applyAlignment="0" applyProtection="0"/>
    <xf numFmtId="0" fontId="64" fillId="72" borderId="0" applyNumberFormat="0" applyBorder="0" applyAlignment="0" applyProtection="0"/>
    <xf numFmtId="0" fontId="1" fillId="36" borderId="0" applyNumberFormat="0" applyBorder="0" applyAlignment="0" applyProtection="0"/>
    <xf numFmtId="0" fontId="66" fillId="67" borderId="0" applyNumberFormat="0" applyBorder="0" applyAlignment="0" applyProtection="0"/>
    <xf numFmtId="0" fontId="1" fillId="36"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4" fillId="73" borderId="0" applyNumberFormat="0" applyBorder="0" applyAlignment="0" applyProtection="0"/>
    <xf numFmtId="0" fontId="1" fillId="39" borderId="0" applyNumberFormat="0" applyBorder="0" applyAlignment="0" applyProtection="0"/>
    <xf numFmtId="0" fontId="66" fillId="68" borderId="0" applyNumberFormat="0" applyBorder="0" applyAlignment="0" applyProtection="0"/>
    <xf numFmtId="0" fontId="64" fillId="74" borderId="0" applyNumberFormat="0" applyBorder="0" applyAlignment="0" applyProtection="0"/>
    <xf numFmtId="0" fontId="1" fillId="41" borderId="0" applyNumberFormat="0" applyBorder="0" applyAlignment="0" applyProtection="0"/>
    <xf numFmtId="0" fontId="66" fillId="69" borderId="0" applyNumberFormat="0" applyBorder="0" applyAlignment="0" applyProtection="0"/>
    <xf numFmtId="0" fontId="59" fillId="75" borderId="0" applyNumberFormat="0" applyBorder="0" applyAlignment="0" applyProtection="0"/>
    <xf numFmtId="0" fontId="59" fillId="73" borderId="0" applyNumberFormat="0" applyBorder="0" applyAlignment="0" applyProtection="0"/>
    <xf numFmtId="0" fontId="59" fillId="70" borderId="0" applyNumberFormat="0" applyBorder="0" applyAlignment="0" applyProtection="0"/>
    <xf numFmtId="0" fontId="59" fillId="67"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64" fillId="70" borderId="0" applyNumberFormat="0" applyBorder="0" applyAlignment="0" applyProtection="0"/>
    <xf numFmtId="0" fontId="1" fillId="28" borderId="0" applyNumberFormat="0" applyBorder="0" applyAlignment="0" applyProtection="0"/>
    <xf numFmtId="0" fontId="66" fillId="75" borderId="0" applyNumberFormat="0" applyBorder="0" applyAlignment="0" applyProtection="0"/>
    <xf numFmtId="0" fontId="66" fillId="73" borderId="0" applyNumberFormat="0" applyBorder="0" applyAlignment="0" applyProtection="0"/>
    <xf numFmtId="0" fontId="64" fillId="77" borderId="0" applyNumberFormat="0" applyBorder="0" applyAlignment="0" applyProtection="0"/>
    <xf numFmtId="0" fontId="37" fillId="34" borderId="0" applyNumberFormat="0" applyBorder="0" applyAlignment="0" applyProtection="0"/>
    <xf numFmtId="0" fontId="65" fillId="70" borderId="0" applyNumberFormat="0" applyBorder="0" applyAlignment="0" applyProtection="0"/>
    <xf numFmtId="0" fontId="1" fillId="34"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5" fillId="70" borderId="0" applyNumberFormat="0" applyBorder="0" applyAlignment="0" applyProtection="0"/>
    <xf numFmtId="0" fontId="64" fillId="78" borderId="0" applyNumberFormat="0" applyBorder="0" applyAlignment="0" applyProtection="0"/>
    <xf numFmtId="0" fontId="1" fillId="37" borderId="0" applyNumberFormat="0" applyBorder="0" applyAlignment="0" applyProtection="0"/>
    <xf numFmtId="0" fontId="66" fillId="67" borderId="0" applyNumberFormat="0" applyBorder="0" applyAlignment="0" applyProtection="0"/>
    <xf numFmtId="0" fontId="64" fillId="73" borderId="0" applyNumberFormat="0" applyBorder="0" applyAlignment="0" applyProtection="0"/>
    <xf numFmtId="0" fontId="1" fillId="40" borderId="0" applyNumberFormat="0" applyBorder="0" applyAlignment="0" applyProtection="0"/>
    <xf numFmtId="0" fontId="66" fillId="75" borderId="0" applyNumberFormat="0" applyBorder="0" applyAlignment="0" applyProtection="0"/>
    <xf numFmtId="0" fontId="66" fillId="76" borderId="0" applyNumberFormat="0" applyBorder="0" applyAlignment="0" applyProtection="0"/>
    <xf numFmtId="0" fontId="67" fillId="79" borderId="0" applyNumberFormat="0" applyBorder="0" applyAlignment="0" applyProtection="0"/>
    <xf numFmtId="0" fontId="67" fillId="73" borderId="0" applyNumberFormat="0" applyBorder="0" applyAlignment="0" applyProtection="0"/>
    <xf numFmtId="0" fontId="67" fillId="7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8" fillId="70" borderId="0" applyNumberFormat="0" applyBorder="0" applyAlignment="0" applyProtection="0"/>
    <xf numFmtId="0" fontId="14" fillId="29" borderId="0" applyNumberFormat="0" applyBorder="0" applyAlignment="0" applyProtection="0"/>
    <xf numFmtId="0" fontId="69" fillId="79" borderId="0" applyNumberFormat="0" applyBorder="0" applyAlignment="0" applyProtection="0"/>
    <xf numFmtId="0" fontId="68" fillId="77" borderId="0" applyNumberFormat="0" applyBorder="0" applyAlignment="0" applyProtection="0"/>
    <xf numFmtId="0" fontId="14" fillId="35" borderId="0" applyNumberFormat="0" applyBorder="0" applyAlignment="0" applyProtection="0"/>
    <xf numFmtId="0" fontId="69" fillId="70" borderId="0" applyNumberFormat="0" applyBorder="0" applyAlignment="0" applyProtection="0"/>
    <xf numFmtId="188" fontId="70" fillId="0" borderId="0" applyNumberFormat="0" applyFill="0" applyBorder="0" applyAlignment="0"/>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189" fontId="28" fillId="83" borderId="50">
      <alignment horizontal="center" vertic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37" fontId="71" fillId="0" borderId="51">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2" fillId="0" borderId="37" applyFill="0" applyBorder="0" applyAlignment="0">
      <alignment horizontal="center"/>
    </xf>
    <xf numFmtId="0" fontId="73" fillId="66" borderId="0" applyNumberFormat="0" applyBorder="0" applyAlignment="0" applyProtection="0"/>
    <xf numFmtId="0" fontId="4" fillId="83" borderId="34" applyNumberFormat="0" applyFont="0" applyAlignment="0" applyProtection="0"/>
    <xf numFmtId="0" fontId="74" fillId="84" borderId="52" applyNumberFormat="0" applyAlignment="0" applyProtection="0"/>
    <xf numFmtId="0" fontId="35" fillId="23" borderId="28" applyNumberFormat="0" applyAlignment="0" applyProtection="0"/>
    <xf numFmtId="0" fontId="75" fillId="85" borderId="53" applyNumberFormat="0" applyAlignment="0" applyProtection="0"/>
    <xf numFmtId="15" fontId="72" fillId="0" borderId="0">
      <alignment horizontal="center"/>
    </xf>
    <xf numFmtId="0" fontId="76" fillId="72" borderId="54" applyNumberFormat="0" applyAlignment="0" applyProtection="0"/>
    <xf numFmtId="0" fontId="36" fillId="24" borderId="30" applyNumberFormat="0" applyAlignment="0" applyProtection="0"/>
    <xf numFmtId="0" fontId="77" fillId="86" borderId="55" applyNumberFormat="0" applyAlignment="0" applyProtection="0"/>
    <xf numFmtId="0" fontId="78" fillId="86" borderId="55" applyNumberFormat="0" applyAlignment="0" applyProtection="0"/>
    <xf numFmtId="0" fontId="79" fillId="0" borderId="56" applyNumberFormat="0" applyFill="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 fontId="58"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1" fillId="0" borderId="0" applyFont="0" applyFill="0" applyBorder="0" applyAlignment="0" applyProtection="0"/>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92" fontId="58"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7" fillId="87" borderId="0" applyNumberFormat="0" applyBorder="0" applyAlignment="0" applyProtection="0"/>
    <xf numFmtId="0" fontId="67" fillId="88" borderId="0" applyNumberFormat="0" applyBorder="0" applyAlignment="0" applyProtection="0"/>
    <xf numFmtId="0" fontId="67" fillId="77"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9" borderId="0" applyNumberFormat="0" applyBorder="0" applyAlignment="0" applyProtection="0"/>
    <xf numFmtId="0" fontId="68" fillId="82" borderId="0" applyNumberFormat="0" applyBorder="0" applyAlignment="0" applyProtection="0"/>
    <xf numFmtId="0" fontId="14" fillId="26" borderId="0" applyNumberFormat="0" applyBorder="0" applyAlignment="0" applyProtection="0"/>
    <xf numFmtId="0" fontId="69" fillId="87" borderId="0" applyNumberFormat="0" applyBorder="0" applyAlignment="0" applyProtection="0"/>
    <xf numFmtId="0" fontId="14" fillId="26" borderId="0" applyNumberFormat="0" applyBorder="0" applyAlignment="0" applyProtection="0"/>
    <xf numFmtId="0" fontId="68" fillId="90" borderId="0" applyNumberFormat="0" applyBorder="0" applyAlignment="0" applyProtection="0"/>
    <xf numFmtId="0" fontId="14" fillId="32" borderId="0" applyNumberFormat="0" applyBorder="0" applyAlignment="0" applyProtection="0"/>
    <xf numFmtId="0" fontId="69" fillId="77" borderId="0" applyNumberFormat="0" applyBorder="0" applyAlignment="0" applyProtection="0"/>
    <xf numFmtId="0" fontId="68" fillId="91" borderId="0" applyNumberFormat="0" applyBorder="0" applyAlignment="0" applyProtection="0"/>
    <xf numFmtId="0" fontId="14" fillId="38" borderId="0" applyNumberFormat="0" applyBorder="0" applyAlignment="0" applyProtection="0"/>
    <xf numFmtId="0" fontId="69"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0" fontId="4" fillId="0" borderId="0"/>
    <xf numFmtId="169" fontId="65" fillId="92" borderId="57" applyFont="0" applyBorder="0"/>
    <xf numFmtId="169" fontId="82" fillId="93" borderId="58">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6" fontId="40" fillId="0" borderId="0" applyFont="0" applyFill="0" applyBorder="0" applyAlignment="0" applyProtection="0">
      <alignment vertical="center"/>
    </xf>
    <xf numFmtId="195" fontId="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7" fontId="83" fillId="0" borderId="0">
      <alignment horizontal="right" vertical="top"/>
    </xf>
    <xf numFmtId="198" fontId="83" fillId="0" borderId="0" applyFont="0" applyFill="0">
      <alignment horizontal="right" vertical="top"/>
    </xf>
    <xf numFmtId="41" fontId="84" fillId="0" borderId="0" applyFill="0" applyBorder="0" applyAlignment="0" applyProtection="0">
      <alignment horizontal="right" vertical="top"/>
    </xf>
    <xf numFmtId="0" fontId="84" fillId="0" borderId="0" applyFill="0" applyBorder="0">
      <alignment horizontal="left" vertical="top"/>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58"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199" fontId="85"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38" fontId="40" fillId="96" borderId="0" applyNumberFormat="0" applyBorder="0" applyAlignment="0" applyProtection="0"/>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0" fontId="90" fillId="0" borderId="0">
      <protection locked="0"/>
    </xf>
    <xf numFmtId="201" fontId="91" fillId="0" borderId="42" applyBorder="0"/>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97" borderId="0" applyNumberFormat="0" applyBorder="0" applyAlignment="0" applyProtection="0"/>
    <xf numFmtId="0" fontId="33" fillId="21" borderId="0" applyNumberFormat="0" applyBorder="0" applyAlignment="0" applyProtection="0"/>
    <xf numFmtId="0" fontId="95" fillId="65" borderId="0" applyNumberFormat="0" applyBorder="0" applyAlignment="0" applyProtection="0"/>
    <xf numFmtId="0" fontId="96" fillId="65" borderId="0" applyNumberFormat="0" applyBorder="0" applyAlignment="0" applyProtection="0"/>
    <xf numFmtId="0" fontId="97" fillId="0" borderId="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10" fontId="40" fillId="98" borderId="34" applyNumberFormat="0" applyBorder="0" applyAlignment="0" applyProtection="0"/>
    <xf numFmtId="0" fontId="98" fillId="0" borderId="41" applyNumberFormat="0" applyBorder="0" applyAlignment="0">
      <alignment horizontal="left"/>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38" fontId="84" fillId="0" borderId="38">
      <alignment vertical="center"/>
    </xf>
    <xf numFmtId="202" fontId="4" fillId="0" borderId="0" applyFont="0" applyFill="0" applyBorder="0" applyAlignment="0" applyProtection="0"/>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4" fillId="0" borderId="36" applyBorder="0">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43" fontId="1" fillId="0" borderId="0" applyFont="0" applyFill="0" applyBorder="0" applyAlignment="0" applyProtection="0"/>
    <xf numFmtId="172" fontId="4" fillId="0" borderId="0" applyFont="0" applyFill="0" applyBorder="0" applyAlignment="0" applyProtection="0"/>
    <xf numFmtId="172" fontId="99" fillId="0" borderId="0" applyFont="0" applyFill="0" applyBorder="0" applyAlignment="0" applyProtection="0"/>
    <xf numFmtId="178" fontId="99" fillId="0" borderId="0" applyFont="0" applyFill="0" applyBorder="0" applyAlignment="0" applyProtection="0"/>
    <xf numFmtId="178" fontId="99"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84" fillId="0" borderId="36" applyBorder="0">
      <alignment vertical="center"/>
    </xf>
    <xf numFmtId="40" fontId="4" fillId="0" borderId="36" applyBorder="0">
      <alignment vertical="center"/>
    </xf>
    <xf numFmtId="204" fontId="4" fillId="0" borderId="0" applyFill="0" applyBorder="0" applyAlignment="0" applyProtection="0"/>
    <xf numFmtId="0" fontId="101" fillId="99" borderId="0" applyNumberFormat="0" applyBorder="0" applyAlignment="0" applyProtection="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37" fontId="102" fillId="0" borderId="0"/>
    <xf numFmtId="205" fontId="103" fillId="0" borderId="0"/>
    <xf numFmtId="0" fontId="4" fillId="0" borderId="0" applyNumberFormat="0" applyFill="0" applyBorder="0" applyAlignment="0" applyProtection="0"/>
    <xf numFmtId="0" fontId="1" fillId="0" borderId="0"/>
    <xf numFmtId="0" fontId="99" fillId="0" borderId="0"/>
    <xf numFmtId="0" fontId="4" fillId="0" borderId="0"/>
    <xf numFmtId="0" fontId="4" fillId="0" borderId="0"/>
    <xf numFmtId="0" fontId="65" fillId="0" borderId="0">
      <alignment vertical="top"/>
    </xf>
    <xf numFmtId="0" fontId="37" fillId="0" borderId="0"/>
    <xf numFmtId="0" fontId="3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lignment vertical="top"/>
    </xf>
    <xf numFmtId="0" fontId="65" fillId="0" borderId="0">
      <alignment vertical="top"/>
    </xf>
    <xf numFmtId="0" fontId="4" fillId="0" borderId="0"/>
    <xf numFmtId="0" fontId="1" fillId="0" borderId="0"/>
    <xf numFmtId="0" fontId="1" fillId="0" borderId="0"/>
    <xf numFmtId="0" fontId="66" fillId="0" borderId="0"/>
    <xf numFmtId="0" fontId="66" fillId="0" borderId="0"/>
    <xf numFmtId="0" fontId="66" fillId="0" borderId="0"/>
    <xf numFmtId="0" fontId="66" fillId="0" borderId="0"/>
    <xf numFmtId="0" fontId="1" fillId="0" borderId="0"/>
    <xf numFmtId="0" fontId="66" fillId="0" borderId="0"/>
    <xf numFmtId="0" fontId="66" fillId="0" borderId="0"/>
    <xf numFmtId="0" fontId="4" fillId="0" borderId="0" applyNumberFormat="0" applyFill="0" applyBorder="0" applyAlignment="0" applyProtection="0"/>
    <xf numFmtId="0" fontId="4" fillId="0" borderId="0"/>
    <xf numFmtId="0" fontId="59" fillId="91" borderId="59" applyNumberFormat="0" applyFont="0" applyAlignment="0" applyProtection="0"/>
    <xf numFmtId="0" fontId="100" fillId="25" borderId="31" applyNumberFormat="0" applyFont="0" applyAlignment="0" applyProtection="0"/>
    <xf numFmtId="0" fontId="66" fillId="91" borderId="59" applyNumberFormat="0" applyFont="0" applyAlignment="0" applyProtection="0"/>
    <xf numFmtId="0" fontId="66" fillId="91" borderId="59" applyNumberFormat="0" applyFont="0" applyAlignment="0" applyProtection="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182" fontId="58" fillId="0" borderId="0">
      <protection locked="0"/>
    </xf>
    <xf numFmtId="9" fontId="99" fillId="0" borderId="0" applyFont="0" applyFill="0" applyBorder="0" applyAlignment="0" applyProtection="0"/>
    <xf numFmtId="9" fontId="9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108"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109" fillId="85" borderId="76" applyNumberFormat="0" applyAlignment="0" applyProtection="0"/>
    <xf numFmtId="0" fontId="110" fillId="84" borderId="77" applyNumberFormat="0" applyAlignment="0" applyProtection="0"/>
    <xf numFmtId="0" fontId="34" fillId="23" borderId="29" applyNumberFormat="0" applyAlignment="0" applyProtection="0"/>
    <xf numFmtId="209" fontId="4" fillId="0" borderId="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37" fontId="113" fillId="0" borderId="37" applyNumberFormat="0">
      <alignment horizontal="left"/>
      <protection locked="0" hidden="1"/>
    </xf>
    <xf numFmtId="0" fontId="114"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32" applyNumberFormat="0" applyFill="0" applyAlignment="0" applyProtection="0"/>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117" fillId="0" borderId="79"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65" borderId="0" applyNumberFormat="0" applyBorder="0" applyAlignment="0" applyProtection="0"/>
    <xf numFmtId="0" fontId="59" fillId="66"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75" borderId="0" applyNumberFormat="0" applyBorder="0" applyAlignment="0" applyProtection="0"/>
    <xf numFmtId="0" fontId="59" fillId="73" borderId="0" applyNumberFormat="0" applyBorder="0" applyAlignment="0" applyProtection="0"/>
    <xf numFmtId="0" fontId="59" fillId="67"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67" fillId="79"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39" fontId="4" fillId="0" borderId="37" applyFill="0" applyBorder="0" applyAlignment="0">
      <alignment horizontal="center"/>
    </xf>
    <xf numFmtId="0" fontId="73" fillId="66" borderId="0" applyNumberFormat="0" applyBorder="0" applyAlignment="0" applyProtection="0"/>
    <xf numFmtId="0" fontId="73" fillId="66"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85" borderId="53"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8" fillId="86" borderId="55" applyNumberFormat="0" applyAlignment="0" applyProtection="0"/>
    <xf numFmtId="0" fontId="79" fillId="0" borderId="56" applyNumberFormat="0" applyFill="0" applyAlignment="0" applyProtection="0"/>
    <xf numFmtId="0" fontId="79" fillId="0" borderId="56" applyNumberFormat="0" applyFill="0" applyAlignment="0" applyProtection="0"/>
    <xf numFmtId="0" fontId="3" fillId="101" borderId="40" applyFont="0" applyFill="0" applyBorder="0"/>
    <xf numFmtId="0" fontId="40" fillId="0" borderId="39"/>
    <xf numFmtId="0" fontId="121" fillId="0" borderId="33">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181" fontId="80"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8" fillId="0" borderId="0">
      <protection locked="0"/>
    </xf>
    <xf numFmtId="0" fontId="90" fillId="0" borderId="0">
      <protection locked="0"/>
    </xf>
    <xf numFmtId="0" fontId="90" fillId="0" borderId="0">
      <protection locked="0"/>
    </xf>
    <xf numFmtId="0" fontId="116" fillId="0" borderId="0" applyNumberFormat="0" applyFill="0" applyBorder="0" applyAlignment="0" applyProtection="0"/>
    <xf numFmtId="0" fontId="116" fillId="0" borderId="0" applyNumberFormat="0" applyFill="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77"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122" fillId="69" borderId="53" applyNumberFormat="0" applyAlignment="0" applyProtection="0"/>
    <xf numFmtId="0" fontId="122" fillId="69" borderId="53"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3" fillId="0" borderId="0" applyFont="0" applyFill="0" applyBorder="0" applyAlignment="0" applyProtection="0"/>
    <xf numFmtId="211" fontId="58" fillId="0" borderId="0">
      <protection locked="0"/>
    </xf>
    <xf numFmtId="4" fontId="58" fillId="0" borderId="0">
      <protection locked="0"/>
    </xf>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6" fillId="0" borderId="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6" fillId="65" borderId="0" applyNumberFormat="0" applyBorder="0" applyAlignment="0" applyProtection="0"/>
    <xf numFmtId="3" fontId="124" fillId="102" borderId="34">
      <protection locked="0"/>
    </xf>
    <xf numFmtId="38" fontId="84" fillId="0" borderId="38">
      <alignment vertical="center"/>
    </xf>
    <xf numFmtId="38" fontId="84" fillId="0" borderId="38">
      <alignment vertical="center"/>
    </xf>
    <xf numFmtId="40" fontId="84" fillId="0" borderId="38">
      <alignment vertical="center"/>
    </xf>
    <xf numFmtId="40" fontId="84" fillId="0" borderId="38">
      <alignment vertical="center"/>
    </xf>
    <xf numFmtId="38" fontId="84" fillId="0" borderId="38">
      <alignment vertical="center"/>
    </xf>
    <xf numFmtId="38" fontId="84" fillId="0" borderId="38">
      <alignment vertical="center"/>
    </xf>
    <xf numFmtId="40" fontId="84" fillId="0" borderId="38">
      <alignment vertical="center"/>
    </xf>
    <xf numFmtId="40" fontId="84" fillId="0" borderId="38">
      <alignment vertical="center"/>
    </xf>
    <xf numFmtId="40" fontId="84" fillId="0" borderId="38">
      <alignment vertical="center"/>
    </xf>
    <xf numFmtId="40" fontId="84" fillId="0" borderId="38">
      <alignment vertical="center"/>
    </xf>
    <xf numFmtId="212" fontId="4" fillId="0" borderId="0" applyFont="0" applyFill="0" applyBorder="0" applyAlignment="0" applyProtection="0"/>
    <xf numFmtId="213" fontId="58" fillId="0" borderId="0">
      <protection locked="0"/>
    </xf>
    <xf numFmtId="214" fontId="123" fillId="0" borderId="0" applyFont="0" applyFill="0" applyBorder="0" applyAlignment="0" applyProtection="0"/>
    <xf numFmtId="0" fontId="101" fillId="99" borderId="0" applyNumberFormat="0" applyBorder="0" applyAlignment="0" applyProtection="0"/>
    <xf numFmtId="0" fontId="101" fillId="99" borderId="0" applyNumberFormat="0" applyBorder="0" applyAlignment="0" applyProtection="0"/>
    <xf numFmtId="215" fontId="4" fillId="0" borderId="0"/>
    <xf numFmtId="216" fontId="4" fillId="0" borderId="0"/>
    <xf numFmtId="217" fontId="4" fillId="0" borderId="0">
      <alignment horizontal="right"/>
    </xf>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0" fontId="59" fillId="91" borderId="59" applyNumberFormat="0" applyFont="0" applyAlignment="0" applyProtection="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182" fontId="58" fillId="0" borderId="0">
      <protection locked="0"/>
    </xf>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81" fillId="0" borderId="35" applyBorder="0"/>
    <xf numFmtId="9" fontId="4" fillId="0" borderId="0" applyFont="0" applyFill="0" applyBorder="0" applyAlignment="0" applyProtection="0"/>
    <xf numFmtId="9" fontId="4" fillId="0" borderId="0" applyFont="0" applyFill="0" applyBorder="0" applyAlignment="0" applyProtection="0"/>
    <xf numFmtId="37" fontId="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104" fillId="0" borderId="37">
      <alignment horizontal="right"/>
      <protection locked="0" hidden="1"/>
    </xf>
    <xf numFmtId="37" fontId="4" fillId="0" borderId="37">
      <alignment horizontal="right"/>
      <protection locked="0" hidden="1"/>
    </xf>
    <xf numFmtId="37" fontId="4" fillId="0" borderId="37">
      <alignment horizontal="right"/>
      <protection locked="0" hidden="1"/>
    </xf>
    <xf numFmtId="37" fontId="4" fillId="0" borderId="37">
      <alignment horizontal="right"/>
      <protection locked="0" hidden="1"/>
    </xf>
    <xf numFmtId="37" fontId="4" fillId="0" borderId="37">
      <alignment horizontal="right"/>
      <protection locked="0" hidden="1"/>
    </xf>
    <xf numFmtId="37" fontId="4" fillId="0" borderId="37">
      <alignment horizontal="right"/>
      <protection locked="0" hidden="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3" fontId="123"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Border="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0" fontId="105"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109" fillId="85" borderId="76" applyNumberFormat="0" applyAlignment="0" applyProtection="0"/>
    <xf numFmtId="0" fontId="109" fillId="85" borderId="76" applyNumberFormat="0" applyAlignment="0" applyProtection="0"/>
    <xf numFmtId="172" fontId="4" fillId="0" borderId="0" applyFont="0" applyFill="0" applyBorder="0" applyAlignment="0" applyProtection="0"/>
    <xf numFmtId="0" fontId="125" fillId="0" borderId="80">
      <alignment horizontal="left"/>
    </xf>
    <xf numFmtId="37" fontId="4" fillId="0" borderId="37" applyNumberFormat="0">
      <alignment horizontal="left"/>
      <protection locked="0" hidden="1"/>
    </xf>
    <xf numFmtId="37" fontId="4" fillId="0" borderId="37" applyNumberFormat="0">
      <alignment horizontal="left"/>
      <protection locked="0" hidden="1"/>
    </xf>
    <xf numFmtId="37" fontId="4" fillId="0" borderId="37" applyNumberFormat="0">
      <alignment horizontal="left"/>
      <protection locked="0" hidden="1"/>
    </xf>
    <xf numFmtId="37" fontId="4" fillId="0" borderId="37" applyNumberFormat="0">
      <alignment horizontal="left"/>
      <protection locked="0" hidden="1"/>
    </xf>
    <xf numFmtId="37" fontId="4" fillId="0" borderId="37" applyNumberFormat="0">
      <alignment horizontal="left"/>
      <protection locked="0" hidden="1"/>
    </xf>
    <xf numFmtId="37" fontId="4" fillId="0" borderId="37" applyNumberFormat="0">
      <alignment horizontal="left"/>
      <protection locked="0" hidden="1"/>
    </xf>
    <xf numFmtId="0" fontId="114" fillId="0" borderId="0" applyNumberFormat="0" applyFill="0" applyBorder="0" applyAlignment="0" applyProtection="0"/>
    <xf numFmtId="0" fontId="11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103" borderId="81" applyNumberFormat="0">
      <alignment horizontal="left"/>
    </xf>
    <xf numFmtId="0" fontId="128" fillId="0" borderId="82" applyNumberFormat="0" applyFill="0" applyAlignment="0" applyProtection="0"/>
    <xf numFmtId="0" fontId="128" fillId="0" borderId="82" applyNumberFormat="0" applyFill="0" applyAlignment="0" applyProtection="0"/>
    <xf numFmtId="0" fontId="129" fillId="0" borderId="83" applyNumberFormat="0" applyFill="0" applyAlignment="0" applyProtection="0"/>
    <xf numFmtId="0" fontId="129" fillId="0" borderId="83" applyNumberFormat="0" applyFill="0" applyAlignment="0" applyProtection="0"/>
    <xf numFmtId="0" fontId="116" fillId="0" borderId="84" applyNumberFormat="0" applyFill="0" applyAlignment="0" applyProtection="0"/>
    <xf numFmtId="0" fontId="116" fillId="0" borderId="84" applyNumberFormat="0" applyFill="0" applyAlignment="0" applyProtection="0"/>
    <xf numFmtId="0" fontId="60" fillId="0" borderId="85" applyNumberFormat="0" applyFill="0" applyAlignment="0" applyProtection="0"/>
    <xf numFmtId="0" fontId="60" fillId="0" borderId="85"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1" fillId="0" borderId="0">
      <alignment horizontal="left" vertical="center" indent="1"/>
    </xf>
    <xf numFmtId="0" fontId="9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43" fontId="1" fillId="0" borderId="0" applyFont="0" applyFill="0" applyBorder="0" applyAlignment="0" applyProtection="0"/>
    <xf numFmtId="178"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64" fillId="70" borderId="0" applyNumberFormat="0" applyBorder="0" applyAlignment="0" applyProtection="0"/>
    <xf numFmtId="0" fontId="59" fillId="64" borderId="0" applyNumberFormat="0" applyBorder="0" applyAlignment="0" applyProtection="0"/>
    <xf numFmtId="0" fontId="1" fillId="27"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59" fillId="64" borderId="0" applyNumberFormat="0" applyBorder="0" applyAlignment="0" applyProtection="0"/>
    <xf numFmtId="0" fontId="130" fillId="104" borderId="0" applyNumberFormat="0" applyBorder="0" applyAlignment="0" applyProtection="0"/>
    <xf numFmtId="0" fontId="130" fillId="104"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1" fillId="30" borderId="0" applyNumberFormat="0" applyBorder="0" applyAlignment="0" applyProtection="0"/>
    <xf numFmtId="0" fontId="130" fillId="67" borderId="0" applyNumberFormat="0" applyBorder="0" applyAlignment="0" applyProtection="0"/>
    <xf numFmtId="0" fontId="1" fillId="30"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59" fillId="65"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67"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66"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00" fillId="71" borderId="0" applyNumberFormat="0" applyBorder="0" applyAlignment="0" applyProtection="0"/>
    <xf numFmtId="0" fontId="100" fillId="71" borderId="0" applyNumberFormat="0" applyBorder="0" applyAlignment="0" applyProtection="0"/>
    <xf numFmtId="0" fontId="64" fillId="71" borderId="0" applyNumberFormat="0" applyBorder="0" applyAlignment="0" applyProtection="0"/>
    <xf numFmtId="0" fontId="100" fillId="71" borderId="0" applyNumberFormat="0" applyBorder="0" applyAlignment="0" applyProtection="0"/>
    <xf numFmtId="0" fontId="64" fillId="71" borderId="0" applyNumberFormat="0" applyBorder="0" applyAlignment="0" applyProtection="0"/>
    <xf numFmtId="0" fontId="59" fillId="66" borderId="0" applyNumberFormat="0" applyBorder="0" applyAlignment="0" applyProtection="0"/>
    <xf numFmtId="0" fontId="64" fillId="71" borderId="0" applyNumberFormat="0" applyBorder="0" applyAlignment="0" applyProtection="0"/>
    <xf numFmtId="0" fontId="59" fillId="66" borderId="0" applyNumberFormat="0" applyBorder="0" applyAlignment="0" applyProtection="0"/>
    <xf numFmtId="0" fontId="1" fillId="33" borderId="0" applyNumberFormat="0" applyBorder="0" applyAlignment="0" applyProtection="0"/>
    <xf numFmtId="0" fontId="130" fillId="74" borderId="0" applyNumberFormat="0" applyBorder="0" applyAlignment="0" applyProtection="0"/>
    <xf numFmtId="0" fontId="1" fillId="33"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66"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00" fillId="72" borderId="0" applyNumberFormat="0" applyBorder="0" applyAlignment="0" applyProtection="0"/>
    <xf numFmtId="0" fontId="100" fillId="72" borderId="0" applyNumberFormat="0" applyBorder="0" applyAlignment="0" applyProtection="0"/>
    <xf numFmtId="0" fontId="64" fillId="72" borderId="0" applyNumberFormat="0" applyBorder="0" applyAlignment="0" applyProtection="0"/>
    <xf numFmtId="0" fontId="100" fillId="72" borderId="0" applyNumberFormat="0" applyBorder="0" applyAlignment="0" applyProtection="0"/>
    <xf numFmtId="0" fontId="64" fillId="72" borderId="0" applyNumberFormat="0" applyBorder="0" applyAlignment="0" applyProtection="0"/>
    <xf numFmtId="0" fontId="59" fillId="67" borderId="0" applyNumberFormat="0" applyBorder="0" applyAlignment="0" applyProtection="0"/>
    <xf numFmtId="0" fontId="64" fillId="72" borderId="0" applyNumberFormat="0" applyBorder="0" applyAlignment="0" applyProtection="0"/>
    <xf numFmtId="0" fontId="59" fillId="67" borderId="0" applyNumberFormat="0" applyBorder="0" applyAlignment="0" applyProtection="0"/>
    <xf numFmtId="0" fontId="1" fillId="36"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59" fillId="67"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59" fillId="68" borderId="0" applyNumberFormat="0" applyBorder="0" applyAlignment="0" applyProtection="0"/>
    <xf numFmtId="0" fontId="64" fillId="73" borderId="0" applyNumberFormat="0" applyBorder="0" applyAlignment="0" applyProtection="0"/>
    <xf numFmtId="0" fontId="59" fillId="68" borderId="0" applyNumberFormat="0" applyBorder="0" applyAlignment="0" applyProtection="0"/>
    <xf numFmtId="0" fontId="1" fillId="39" borderId="0" applyNumberFormat="0" applyBorder="0" applyAlignment="0" applyProtection="0"/>
    <xf numFmtId="0" fontId="130" fillId="90" borderId="0" applyNumberFormat="0" applyBorder="0" applyAlignment="0" applyProtection="0"/>
    <xf numFmtId="0" fontId="1" fillId="39"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59" fillId="68"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90"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64" fillId="74" borderId="0" applyNumberFormat="0" applyBorder="0" applyAlignment="0" applyProtection="0"/>
    <xf numFmtId="0" fontId="100" fillId="74" borderId="0" applyNumberFormat="0" applyBorder="0" applyAlignment="0" applyProtection="0"/>
    <xf numFmtId="0" fontId="64" fillId="74" borderId="0" applyNumberFormat="0" applyBorder="0" applyAlignment="0" applyProtection="0"/>
    <xf numFmtId="0" fontId="59" fillId="69" borderId="0" applyNumberFormat="0" applyBorder="0" applyAlignment="0" applyProtection="0"/>
    <xf numFmtId="0" fontId="64" fillId="74" borderId="0" applyNumberFormat="0" applyBorder="0" applyAlignment="0" applyProtection="0"/>
    <xf numFmtId="0" fontId="59" fillId="69" borderId="0" applyNumberFormat="0" applyBorder="0" applyAlignment="0" applyProtection="0"/>
    <xf numFmtId="0" fontId="1" fillId="41" borderId="0" applyNumberFormat="0" applyBorder="0" applyAlignment="0" applyProtection="0"/>
    <xf numFmtId="0" fontId="130" fillId="78" borderId="0" applyNumberFormat="0" applyBorder="0" applyAlignment="0" applyProtection="0"/>
    <xf numFmtId="0" fontId="1" fillId="41"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59" fillId="69"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78"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64" fillId="70" borderId="0" applyNumberFormat="0" applyBorder="0" applyAlignment="0" applyProtection="0"/>
    <xf numFmtId="0" fontId="100" fillId="70" borderId="0" applyNumberFormat="0" applyBorder="0" applyAlignment="0" applyProtection="0"/>
    <xf numFmtId="0" fontId="64" fillId="70" borderId="0" applyNumberFormat="0" applyBorder="0" applyAlignment="0" applyProtection="0"/>
    <xf numFmtId="0" fontId="59" fillId="75" borderId="0" applyNumberFormat="0" applyBorder="0" applyAlignment="0" applyProtection="0"/>
    <xf numFmtId="0" fontId="64" fillId="70" borderId="0" applyNumberFormat="0" applyBorder="0" applyAlignment="0" applyProtection="0"/>
    <xf numFmtId="0" fontId="59" fillId="75" borderId="0" applyNumberFormat="0" applyBorder="0" applyAlignment="0" applyProtection="0"/>
    <xf numFmtId="0" fontId="1" fillId="28" borderId="0" applyNumberFormat="0" applyBorder="0" applyAlignment="0" applyProtection="0"/>
    <xf numFmtId="0" fontId="130" fillId="105" borderId="0" applyNumberFormat="0" applyBorder="0" applyAlignment="0" applyProtection="0"/>
    <xf numFmtId="0" fontId="1" fillId="28"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59" fillId="7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105"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1" fillId="31" borderId="0" applyNumberFormat="0" applyBorder="0" applyAlignment="0" applyProtection="0"/>
    <xf numFmtId="0" fontId="130" fillId="84" borderId="0" applyNumberFormat="0" applyBorder="0" applyAlignment="0" applyProtection="0"/>
    <xf numFmtId="0" fontId="1" fillId="31"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59" fillId="73"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8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64" fillId="77" borderId="0" applyNumberFormat="0" applyBorder="0" applyAlignment="0" applyProtection="0"/>
    <xf numFmtId="0" fontId="59" fillId="70" borderId="0" applyNumberFormat="0" applyBorder="0" applyAlignment="0" applyProtection="0"/>
    <xf numFmtId="0" fontId="64" fillId="77" borderId="0" applyNumberFormat="0" applyBorder="0" applyAlignment="0" applyProtection="0"/>
    <xf numFmtId="0" fontId="59" fillId="70" borderId="0" applyNumberFormat="0" applyBorder="0" applyAlignment="0" applyProtection="0"/>
    <xf numFmtId="0" fontId="1" fillId="3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59" fillId="70"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59" fillId="67"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64" fillId="78" borderId="0" applyNumberFormat="0" applyBorder="0" applyAlignment="0" applyProtection="0"/>
    <xf numFmtId="0" fontId="100" fillId="78" borderId="0" applyNumberFormat="0" applyBorder="0" applyAlignment="0" applyProtection="0"/>
    <xf numFmtId="0" fontId="64" fillId="78" borderId="0" applyNumberFormat="0" applyBorder="0" applyAlignment="0" applyProtection="0"/>
    <xf numFmtId="0" fontId="59" fillId="67" borderId="0" applyNumberFormat="0" applyBorder="0" applyAlignment="0" applyProtection="0"/>
    <xf numFmtId="0" fontId="64" fillId="78" borderId="0" applyNumberFormat="0" applyBorder="0" applyAlignment="0" applyProtection="0"/>
    <xf numFmtId="0" fontId="59" fillId="67" borderId="0" applyNumberFormat="0" applyBorder="0" applyAlignment="0" applyProtection="0"/>
    <xf numFmtId="0" fontId="1" fillId="37" borderId="0" applyNumberFormat="0" applyBorder="0" applyAlignment="0" applyProtection="0"/>
    <xf numFmtId="0" fontId="130" fillId="106" borderId="0" applyNumberFormat="0" applyBorder="0" applyAlignment="0" applyProtection="0"/>
    <xf numFmtId="0" fontId="1" fillId="37"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59" fillId="67"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6"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100" fillId="73" borderId="0" applyNumberFormat="0" applyBorder="0" applyAlignment="0" applyProtection="0"/>
    <xf numFmtId="0" fontId="64" fillId="73" borderId="0" applyNumberFormat="0" applyBorder="0" applyAlignment="0" applyProtection="0"/>
    <xf numFmtId="0" fontId="59" fillId="75" borderId="0" applyNumberFormat="0" applyBorder="0" applyAlignment="0" applyProtection="0"/>
    <xf numFmtId="0" fontId="64" fillId="73" borderId="0" applyNumberFormat="0" applyBorder="0" applyAlignment="0" applyProtection="0"/>
    <xf numFmtId="0" fontId="59" fillId="75" borderId="0" applyNumberFormat="0" applyBorder="0" applyAlignment="0" applyProtection="0"/>
    <xf numFmtId="0" fontId="1" fillId="40" borderId="0" applyNumberFormat="0" applyBorder="0" applyAlignment="0" applyProtection="0"/>
    <xf numFmtId="0" fontId="130" fillId="107" borderId="0" applyNumberFormat="0" applyBorder="0" applyAlignment="0" applyProtection="0"/>
    <xf numFmtId="0" fontId="1" fillId="40"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59" fillId="75"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107"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1" fillId="42" borderId="0" applyNumberFormat="0" applyBorder="0" applyAlignment="0" applyProtection="0"/>
    <xf numFmtId="0" fontId="130" fillId="85" borderId="0" applyNumberFormat="0" applyBorder="0" applyAlignment="0" applyProtection="0"/>
    <xf numFmtId="0" fontId="1" fillId="42"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59" fillId="76"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0" fillId="8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8" fillId="70" borderId="0" applyNumberFormat="0" applyBorder="0" applyAlignment="0" applyProtection="0"/>
    <xf numFmtId="0" fontId="67" fillId="70" borderId="0" applyNumberFormat="0" applyBorder="0" applyAlignment="0" applyProtection="0"/>
    <xf numFmtId="0" fontId="68" fillId="70" borderId="0" applyNumberFormat="0" applyBorder="0" applyAlignment="0" applyProtection="0"/>
    <xf numFmtId="0" fontId="67" fillId="79" borderId="0" applyNumberFormat="0" applyBorder="0" applyAlignment="0" applyProtection="0"/>
    <xf numFmtId="0" fontId="68" fillId="70"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67" fillId="79"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105"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67" fillId="73"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4"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8" fillId="77" borderId="0" applyNumberFormat="0" applyBorder="0" applyAlignment="0" applyProtection="0"/>
    <xf numFmtId="0" fontId="67" fillId="77" borderId="0" applyNumberFormat="0" applyBorder="0" applyAlignment="0" applyProtection="0"/>
    <xf numFmtId="0" fontId="68" fillId="77" borderId="0" applyNumberFormat="0" applyBorder="0" applyAlignment="0" applyProtection="0"/>
    <xf numFmtId="0" fontId="67" fillId="70" borderId="0" applyNumberFormat="0" applyBorder="0" applyAlignment="0" applyProtection="0"/>
    <xf numFmtId="0" fontId="68" fillId="77"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0"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67" fillId="80"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108"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67" fillId="81"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8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67" fillId="82"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0" fontId="132"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73" fillId="66"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59" fillId="90" borderId="0" applyNumberFormat="0" applyBorder="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20" fillId="85" borderId="53" applyNumberFormat="0" applyAlignment="0" applyProtection="0"/>
    <xf numFmtId="0" fontId="120" fillId="85" borderId="53" applyNumberFormat="0" applyAlignment="0" applyProtection="0"/>
    <xf numFmtId="0" fontId="109" fillId="77" borderId="87" applyNumberFormat="0" applyAlignment="0" applyProtection="0"/>
    <xf numFmtId="0" fontId="133" fillId="84" borderId="52" applyNumberFormat="0" applyAlignment="0" applyProtection="0"/>
    <xf numFmtId="0" fontId="133" fillId="84" borderId="52" applyNumberFormat="0" applyAlignment="0" applyProtection="0"/>
    <xf numFmtId="0" fontId="74" fillId="84" borderId="52" applyNumberFormat="0" applyAlignment="0" applyProtection="0"/>
    <xf numFmtId="0" fontId="133" fillId="84" borderId="52" applyNumberFormat="0" applyAlignment="0" applyProtection="0"/>
    <xf numFmtId="0" fontId="74" fillId="84" borderId="52" applyNumberFormat="0" applyAlignment="0" applyProtection="0"/>
    <xf numFmtId="0" fontId="120" fillId="85" borderId="53" applyNumberFormat="0" applyAlignment="0" applyProtection="0"/>
    <xf numFmtId="0" fontId="74" fillId="84" borderId="52" applyNumberFormat="0" applyAlignment="0" applyProtection="0"/>
    <xf numFmtId="0" fontId="120" fillId="85" borderId="53" applyNumberFormat="0" applyAlignment="0" applyProtection="0"/>
    <xf numFmtId="0" fontId="109" fillId="77" borderId="87" applyNumberFormat="0" applyAlignment="0" applyProtection="0"/>
    <xf numFmtId="0" fontId="120" fillId="85" borderId="53" applyNumberFormat="0" applyAlignment="0" applyProtection="0"/>
    <xf numFmtId="0" fontId="109" fillId="77" borderId="87" applyNumberFormat="0" applyAlignment="0" applyProtection="0"/>
    <xf numFmtId="0" fontId="109" fillId="77" borderId="87" applyNumberFormat="0" applyAlignment="0" applyProtection="0"/>
    <xf numFmtId="0" fontId="120" fillId="85" borderId="53"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09" fillId="77" borderId="87"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78" fillId="86" borderId="55" applyNumberFormat="0" applyAlignment="0" applyProtection="0"/>
    <xf numFmtId="0" fontId="78" fillId="86" borderId="55" applyNumberFormat="0" applyAlignment="0" applyProtection="0"/>
    <xf numFmtId="0" fontId="134" fillId="108" borderId="88" applyNumberFormat="0" applyAlignment="0" applyProtection="0"/>
    <xf numFmtId="0" fontId="78" fillId="72" borderId="54" applyNumberFormat="0" applyAlignment="0" applyProtection="0"/>
    <xf numFmtId="0" fontId="78" fillId="72" borderId="54" applyNumberFormat="0" applyAlignment="0" applyProtection="0"/>
    <xf numFmtId="0" fontId="76" fillId="72" borderId="54" applyNumberFormat="0" applyAlignment="0" applyProtection="0"/>
    <xf numFmtId="0" fontId="78" fillId="72" borderId="54" applyNumberFormat="0" applyAlignment="0" applyProtection="0"/>
    <xf numFmtId="0" fontId="76" fillId="72" borderId="54" applyNumberFormat="0" applyAlignment="0" applyProtection="0"/>
    <xf numFmtId="0" fontId="78" fillId="86" borderId="55" applyNumberFormat="0" applyAlignment="0" applyProtection="0"/>
    <xf numFmtId="0" fontId="76" fillId="72" borderId="54" applyNumberFormat="0" applyAlignment="0" applyProtection="0"/>
    <xf numFmtId="0" fontId="78" fillId="86" borderId="55" applyNumberFormat="0" applyAlignment="0" applyProtection="0"/>
    <xf numFmtId="0" fontId="134" fillId="108" borderId="88" applyNumberFormat="0" applyAlignment="0" applyProtection="0"/>
    <xf numFmtId="0" fontId="78" fillId="86" borderId="55" applyNumberFormat="0" applyAlignment="0" applyProtection="0"/>
    <xf numFmtId="0" fontId="134" fillId="108" borderId="88" applyNumberFormat="0" applyAlignment="0" applyProtection="0"/>
    <xf numFmtId="0" fontId="134" fillId="108" borderId="88" applyNumberFormat="0" applyAlignment="0" applyProtection="0"/>
    <xf numFmtId="0" fontId="78" fillId="86" borderId="55"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4" fillId="108" borderId="88" applyNumberFormat="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79" fillId="0" borderId="56" applyNumberFormat="0" applyFill="0" applyAlignment="0" applyProtection="0"/>
    <xf numFmtId="0" fontId="79" fillId="0" borderId="56"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79" fillId="0" borderId="56" applyNumberFormat="0" applyFill="0" applyAlignment="0" applyProtection="0"/>
    <xf numFmtId="0" fontId="135" fillId="0" borderId="89" applyNumberFormat="0" applyFill="0" applyAlignment="0" applyProtection="0"/>
    <xf numFmtId="0" fontId="79" fillId="0" borderId="56"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79" fillId="0" borderId="56"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0" fontId="135" fillId="0" borderId="89"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8" fillId="82" borderId="0" applyNumberFormat="0" applyBorder="0" applyAlignment="0" applyProtection="0"/>
    <xf numFmtId="0" fontId="67" fillId="82" borderId="0" applyNumberFormat="0" applyBorder="0" applyAlignment="0" applyProtection="0"/>
    <xf numFmtId="0" fontId="68" fillId="82" borderId="0" applyNumberFormat="0" applyBorder="0" applyAlignment="0" applyProtection="0"/>
    <xf numFmtId="0" fontId="67" fillId="87" borderId="0" applyNumberFormat="0" applyBorder="0" applyAlignment="0" applyProtection="0"/>
    <xf numFmtId="0" fontId="68" fillId="82"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7"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67" fillId="88"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67" fillId="90" borderId="0" applyNumberFormat="0" applyBorder="0" applyAlignment="0" applyProtection="0"/>
    <xf numFmtId="0" fontId="67" fillId="90" borderId="0" applyNumberFormat="0" applyBorder="0" applyAlignment="0" applyProtection="0"/>
    <xf numFmtId="0" fontId="68" fillId="90" borderId="0" applyNumberFormat="0" applyBorder="0" applyAlignment="0" applyProtection="0"/>
    <xf numFmtId="0" fontId="67" fillId="90" borderId="0" applyNumberFormat="0" applyBorder="0" applyAlignment="0" applyProtection="0"/>
    <xf numFmtId="0" fontId="68" fillId="90" borderId="0" applyNumberFormat="0" applyBorder="0" applyAlignment="0" applyProtection="0"/>
    <xf numFmtId="0" fontId="67" fillId="77" borderId="0" applyNumberFormat="0" applyBorder="0" applyAlignment="0" applyProtection="0"/>
    <xf numFmtId="0" fontId="68" fillId="90"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67" fillId="77"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88"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67" fillId="80"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8" fillId="91" borderId="0" applyNumberFormat="0" applyBorder="0" applyAlignment="0" applyProtection="0"/>
    <xf numFmtId="0" fontId="67" fillId="91" borderId="0" applyNumberFormat="0" applyBorder="0" applyAlignment="0" applyProtection="0"/>
    <xf numFmtId="0" fontId="68" fillId="91" borderId="0" applyNumberFormat="0" applyBorder="0" applyAlignment="0" applyProtection="0"/>
    <xf numFmtId="0" fontId="67" fillId="81" borderId="0" applyNumberFormat="0" applyBorder="0" applyAlignment="0" applyProtection="0"/>
    <xf numFmtId="0" fontId="68" fillId="91"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67" fillId="81"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0"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67" fillId="89"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2" fillId="112" borderId="0" applyNumberFormat="0" applyBorder="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22" fillId="69" borderId="53" applyNumberFormat="0" applyAlignment="0" applyProtection="0"/>
    <xf numFmtId="0" fontId="122" fillId="69" borderId="53"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22" fillId="69" borderId="53" applyNumberFormat="0" applyAlignment="0" applyProtection="0"/>
    <xf numFmtId="0" fontId="137" fillId="76" borderId="87" applyNumberFormat="0" applyAlignment="0" applyProtection="0"/>
    <xf numFmtId="0" fontId="122" fillId="69" borderId="53" applyNumberFormat="0" applyAlignment="0" applyProtection="0"/>
    <xf numFmtId="0" fontId="137" fillId="76" borderId="87" applyNumberFormat="0" applyAlignment="0" applyProtection="0"/>
    <xf numFmtId="0" fontId="137" fillId="76" borderId="87" applyNumberFormat="0" applyAlignment="0" applyProtection="0"/>
    <xf numFmtId="0" fontId="122" fillId="69" borderId="53"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137" fillId="76" borderId="87"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138" fillId="97" borderId="0" applyNumberFormat="0" applyBorder="0" applyAlignment="0" applyProtection="0"/>
    <xf numFmtId="0" fontId="138" fillId="97" borderId="0" applyNumberFormat="0" applyBorder="0" applyAlignment="0" applyProtection="0"/>
    <xf numFmtId="0" fontId="94" fillId="97" borderId="0" applyNumberFormat="0" applyBorder="0" applyAlignment="0" applyProtection="0"/>
    <xf numFmtId="0" fontId="138" fillId="97" borderId="0" applyNumberFormat="0" applyBorder="0" applyAlignment="0" applyProtection="0"/>
    <xf numFmtId="0" fontId="94" fillId="97" borderId="0" applyNumberFormat="0" applyBorder="0" applyAlignment="0" applyProtection="0"/>
    <xf numFmtId="0" fontId="96" fillId="65" borderId="0" applyNumberFormat="0" applyBorder="0" applyAlignment="0" applyProtection="0"/>
    <xf numFmtId="0" fontId="94" fillId="97"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96" fillId="65"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0" fontId="59"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99" fillId="0" borderId="0" applyFont="0" applyFill="0" applyBorder="0" applyAlignment="0" applyProtection="0"/>
    <xf numFmtId="178" fontId="99" fillId="0" borderId="0" applyFont="0" applyFill="0" applyBorder="0" applyAlignment="0" applyProtection="0"/>
    <xf numFmtId="172" fontId="99" fillId="0" borderId="0" applyFont="0" applyFill="0" applyBorder="0" applyAlignment="0" applyProtection="0"/>
    <xf numFmtId="178" fontId="99" fillId="0" borderId="0" applyFont="0" applyFill="0" applyBorder="0" applyAlignment="0" applyProtection="0"/>
    <xf numFmtId="172" fontId="99" fillId="0" borderId="0" applyFont="0" applyFill="0" applyBorder="0" applyAlignment="0" applyProtection="0"/>
    <xf numFmtId="43" fontId="4" fillId="0" borderId="0" applyFont="0" applyFill="0" applyBorder="0" applyAlignment="0" applyProtection="0"/>
    <xf numFmtId="172" fontId="99"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01" fillId="99"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5" fillId="0" borderId="0">
      <alignment vertical="top"/>
    </xf>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5" fillId="0" borderId="0">
      <alignment vertical="top"/>
    </xf>
    <xf numFmtId="0" fontId="65" fillId="0" borderId="0">
      <alignment vertical="top"/>
    </xf>
    <xf numFmtId="0" fontId="65"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5" fillId="0" borderId="0">
      <alignment vertical="top"/>
    </xf>
    <xf numFmtId="0" fontId="4" fillId="0" borderId="0"/>
    <xf numFmtId="0" fontId="4" fillId="0" borderId="0"/>
    <xf numFmtId="0" fontId="4" fillId="0" borderId="0"/>
    <xf numFmtId="0" fontId="65"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100" fillId="0" borderId="0"/>
    <xf numFmtId="0" fontId="4" fillId="0" borderId="0" applyNumberFormat="0" applyFont="0" applyFill="0" applyBorder="0" applyAlignment="0" applyProtection="0"/>
    <xf numFmtId="0" fontId="100" fillId="0" borderId="0"/>
    <xf numFmtId="0" fontId="65"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alignment vertical="top"/>
    </xf>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00" fillId="111" borderId="52"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00" fillId="111" borderId="52" applyNumberFormat="0" applyFont="0" applyAlignment="0" applyProtection="0"/>
    <xf numFmtId="0" fontId="100" fillId="111" borderId="52" applyNumberFormat="0" applyFont="0" applyAlignment="0" applyProtection="0"/>
    <xf numFmtId="0" fontId="1" fillId="25" borderId="31" applyNumberFormat="0" applyFont="0" applyAlignment="0" applyProtection="0"/>
    <xf numFmtId="0" fontId="4" fillId="91" borderId="59"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00" fillId="111" borderId="52"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00" fillId="111" borderId="52"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130" fillId="66" borderId="86" applyNumberFormat="0" applyFont="0" applyAlignment="0" applyProtection="0"/>
    <xf numFmtId="0" fontId="4" fillId="91" borderId="59" applyNumberFormat="0" applyFont="0" applyAlignment="0" applyProtection="0"/>
    <xf numFmtId="0" fontId="1" fillId="25" borderId="31" applyNumberFormat="0" applyFont="0" applyAlignment="0" applyProtection="0"/>
    <xf numFmtId="0" fontId="4" fillId="91" borderId="59" applyNumberFormat="0" applyFont="0" applyAlignment="0" applyProtection="0"/>
    <xf numFmtId="0" fontId="1" fillId="25" borderId="31"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0" borderId="52"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09" fillId="85" borderId="76" applyNumberFormat="0" applyAlignment="0" applyProtection="0"/>
    <xf numFmtId="0" fontId="109" fillId="85" borderId="76" applyNumberFormat="0" applyAlignment="0" applyProtection="0"/>
    <xf numFmtId="0" fontId="140" fillId="77" borderId="90" applyNumberFormat="0" applyAlignment="0" applyProtection="0"/>
    <xf numFmtId="0" fontId="141" fillId="84" borderId="77" applyNumberFormat="0" applyAlignment="0" applyProtection="0"/>
    <xf numFmtId="0" fontId="141" fillId="84" borderId="77" applyNumberFormat="0" applyAlignment="0" applyProtection="0"/>
    <xf numFmtId="0" fontId="110" fillId="84" borderId="77" applyNumberFormat="0" applyAlignment="0" applyProtection="0"/>
    <xf numFmtId="0" fontId="141" fillId="84" borderId="77" applyNumberFormat="0" applyAlignment="0" applyProtection="0"/>
    <xf numFmtId="0" fontId="110" fillId="84" borderId="77" applyNumberFormat="0" applyAlignment="0" applyProtection="0"/>
    <xf numFmtId="0" fontId="109" fillId="85" borderId="76" applyNumberFormat="0" applyAlignment="0" applyProtection="0"/>
    <xf numFmtId="0" fontId="110" fillId="84" borderId="77" applyNumberFormat="0" applyAlignment="0" applyProtection="0"/>
    <xf numFmtId="0" fontId="109" fillId="85" borderId="76" applyNumberFormat="0" applyAlignment="0" applyProtection="0"/>
    <xf numFmtId="0" fontId="140" fillId="77" borderId="90" applyNumberFormat="0" applyAlignment="0" applyProtection="0"/>
    <xf numFmtId="0" fontId="109" fillId="85" borderId="76" applyNumberFormat="0" applyAlignment="0" applyProtection="0"/>
    <xf numFmtId="0" fontId="140" fillId="77" borderId="90" applyNumberFormat="0" applyAlignment="0" applyProtection="0"/>
    <xf numFmtId="0" fontId="140" fillId="77" borderId="90" applyNumberFormat="0" applyAlignment="0" applyProtection="0"/>
    <xf numFmtId="0" fontId="109" fillId="85" borderId="76"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0" fontId="140" fillId="77" borderId="90" applyNumberFormat="0" applyAlignment="0" applyProtection="0"/>
    <xf numFmtId="209" fontId="4" fillId="0" borderId="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28" fillId="0" borderId="82" applyNumberFormat="0" applyFill="0" applyAlignment="0" applyProtection="0"/>
    <xf numFmtId="0" fontId="128" fillId="0" borderId="82"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28" fillId="0" borderId="82" applyNumberFormat="0" applyFill="0" applyAlignment="0" applyProtection="0"/>
    <xf numFmtId="0" fontId="143" fillId="0" borderId="91" applyNumberFormat="0" applyFill="0" applyAlignment="0" applyProtection="0"/>
    <xf numFmtId="0" fontId="128" fillId="0" borderId="82"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28" fillId="0" borderId="82"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3" fillId="0" borderId="91"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29" fillId="0" borderId="83" applyNumberFormat="0" applyFill="0" applyAlignment="0" applyProtection="0"/>
    <xf numFmtId="0" fontId="129" fillId="0" borderId="83"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29" fillId="0" borderId="83" applyNumberFormat="0" applyFill="0" applyAlignment="0" applyProtection="0"/>
    <xf numFmtId="0" fontId="146" fillId="0" borderId="92" applyNumberFormat="0" applyFill="0" applyAlignment="0" applyProtection="0"/>
    <xf numFmtId="0" fontId="129" fillId="0" borderId="83"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29" fillId="0" borderId="83"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16" fillId="0" borderId="84" applyNumberFormat="0" applyFill="0" applyAlignment="0" applyProtection="0"/>
    <xf numFmtId="0" fontId="116" fillId="0" borderId="84"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16" fillId="0" borderId="84" applyNumberFormat="0" applyFill="0" applyAlignment="0" applyProtection="0"/>
    <xf numFmtId="0" fontId="136" fillId="0" borderId="93" applyNumberFormat="0" applyFill="0" applyAlignment="0" applyProtection="0"/>
    <xf numFmtId="0" fontId="116" fillId="0" borderId="84"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16" fillId="0" borderId="84"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147" fillId="0" borderId="94" applyNumberFormat="0" applyFill="0" applyAlignment="0" applyProtection="0"/>
    <xf numFmtId="0" fontId="147" fillId="0" borderId="94" applyNumberFormat="0" applyFill="0" applyAlignment="0" applyProtection="0"/>
    <xf numFmtId="0" fontId="117" fillId="0" borderId="79" applyNumberFormat="0" applyFont="0" applyFill="0" applyAlignment="0" applyProtection="0"/>
    <xf numFmtId="0" fontId="147" fillId="0" borderId="94" applyNumberFormat="0" applyFill="0" applyAlignment="0" applyProtection="0"/>
    <xf numFmtId="0" fontId="147" fillId="0" borderId="94" applyNumberFormat="0" applyFill="0" applyAlignment="0" applyProtection="0"/>
    <xf numFmtId="0" fontId="117" fillId="0" borderId="79" applyNumberFormat="0" applyFon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117" fillId="0" borderId="79" applyNumberFormat="0" applyFont="0" applyFill="0" applyAlignment="0" applyProtection="0"/>
    <xf numFmtId="0" fontId="4" fillId="0" borderId="78" applyNumberFormat="0" applyFont="0" applyFill="0" applyAlignment="0" applyProtection="0">
      <alignment vertical="top"/>
    </xf>
    <xf numFmtId="0" fontId="117" fillId="0" borderId="79" applyNumberFormat="0" applyFon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47" fillId="0" borderId="94" applyNumberFormat="0" applyFill="0" applyAlignment="0" applyProtection="0"/>
    <xf numFmtId="0" fontId="117" fillId="0" borderId="79" applyNumberFormat="0" applyFont="0" applyFill="0" applyAlignment="0" applyProtection="0"/>
    <xf numFmtId="0" fontId="117" fillId="0" borderId="79" applyNumberFormat="0" applyFont="0" applyFill="0" applyAlignment="0" applyProtection="0"/>
    <xf numFmtId="0" fontId="147" fillId="0" borderId="94" applyNumberFormat="0" applyFill="0" applyAlignment="0" applyProtection="0"/>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0" fontId="4" fillId="0" borderId="78"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5"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00"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0"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206" fillId="0" borderId="0"/>
    <xf numFmtId="0" fontId="206" fillId="0" borderId="0"/>
  </cellStyleXfs>
  <cellXfs count="832">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48" fillId="0" borderId="0" xfId="0" applyFont="1"/>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9"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9" fillId="115" borderId="0" xfId="2" applyFont="1" applyFill="1" applyAlignment="1">
      <alignment horizontal="center" vertical="center"/>
    </xf>
    <xf numFmtId="170" fontId="29" fillId="20" borderId="0" xfId="5111" applyNumberFormat="1" applyFont="1" applyFill="1" applyAlignment="1">
      <alignment horizontal="center" vertical="center"/>
    </xf>
    <xf numFmtId="219" fontId="150" fillId="14" borderId="0" xfId="7867" applyNumberFormat="1" applyFont="1" applyFill="1" applyBorder="1" applyAlignment="1">
      <alignment horizontal="center" vertical="center"/>
    </xf>
    <xf numFmtId="0" fontId="151" fillId="0" borderId="0" xfId="0" applyFont="1" applyAlignment="1">
      <alignment horizontal="left"/>
    </xf>
    <xf numFmtId="172" fontId="152" fillId="14" borderId="0" xfId="21" applyFont="1" applyFill="1" applyBorder="1" applyAlignment="1">
      <alignment horizontal="right" vertical="center" indent="1"/>
    </xf>
    <xf numFmtId="170" fontId="20" fillId="0" borderId="102" xfId="13" applyNumberFormat="1" applyFont="1" applyFill="1" applyBorder="1" applyAlignment="1">
      <alignment horizontal="center"/>
    </xf>
    <xf numFmtId="169" fontId="20" fillId="0" borderId="102" xfId="13" applyNumberFormat="1" applyFont="1" applyFill="1" applyBorder="1" applyAlignment="1">
      <alignment horizontal="center"/>
    </xf>
    <xf numFmtId="170" fontId="20" fillId="0" borderId="102" xfId="23" applyNumberFormat="1" applyFont="1" applyFill="1" applyBorder="1" applyAlignment="1">
      <alignment horizontal="left" indent="2"/>
    </xf>
    <xf numFmtId="1" fontId="29" fillId="118" borderId="0" xfId="0" applyNumberFormat="1" applyFont="1" applyFill="1" applyAlignment="1">
      <alignment horizontal="center" vertical="center" wrapText="1"/>
    </xf>
    <xf numFmtId="172" fontId="153" fillId="14" borderId="0" xfId="21" applyFont="1" applyFill="1" applyBorder="1" applyAlignment="1">
      <alignment horizontal="right" vertical="center" indent="1"/>
    </xf>
    <xf numFmtId="172" fontId="154" fillId="14" borderId="0" xfId="21" applyFont="1" applyFill="1" applyAlignment="1"/>
    <xf numFmtId="0" fontId="5" fillId="0" borderId="0" xfId="3" applyFill="1" applyBorder="1" applyAlignment="1">
      <alignment vertical="center"/>
    </xf>
    <xf numFmtId="0" fontId="155" fillId="0" borderId="0" xfId="0" applyFont="1"/>
    <xf numFmtId="0" fontId="156" fillId="0" borderId="0" xfId="0" applyFont="1"/>
    <xf numFmtId="0" fontId="157" fillId="0" borderId="0" xfId="0" applyFont="1"/>
    <xf numFmtId="0" fontId="159" fillId="0" borderId="0" xfId="0" applyFont="1"/>
    <xf numFmtId="0" fontId="160" fillId="0" borderId="0" xfId="0" applyFont="1"/>
    <xf numFmtId="0" fontId="15" fillId="0" borderId="0" xfId="0" applyFont="1"/>
    <xf numFmtId="0" fontId="161" fillId="3" borderId="0" xfId="0" applyFont="1" applyFill="1"/>
    <xf numFmtId="0" fontId="162" fillId="3" borderId="0" xfId="0" applyFont="1" applyFill="1" applyAlignment="1">
      <alignment horizontal="center" vertical="center"/>
    </xf>
    <xf numFmtId="0" fontId="17" fillId="0" borderId="0" xfId="12" applyFont="1" applyFill="1" applyBorder="1" applyAlignment="1">
      <alignment horizontal="left"/>
    </xf>
    <xf numFmtId="0" fontId="163" fillId="0" borderId="0" xfId="12" applyFont="1" applyFill="1" applyBorder="1" applyAlignment="1">
      <alignment horizontal="left"/>
    </xf>
    <xf numFmtId="169" fontId="163" fillId="0" borderId="0" xfId="23" applyNumberFormat="1" applyFont="1" applyFill="1" applyBorder="1" applyAlignment="1">
      <alignment horizontal="center"/>
    </xf>
    <xf numFmtId="0" fontId="164" fillId="0" borderId="102" xfId="12" applyFont="1" applyFill="1" applyBorder="1" applyAlignment="1">
      <alignment horizontal="left"/>
    </xf>
    <xf numFmtId="170" fontId="164" fillId="0" borderId="102" xfId="23" applyNumberFormat="1" applyFont="1" applyFill="1" applyBorder="1" applyAlignment="1">
      <alignment horizontal="center"/>
    </xf>
    <xf numFmtId="169" fontId="164" fillId="0" borderId="102" xfId="23" applyNumberFormat="1" applyFont="1" applyFill="1" applyBorder="1" applyAlignment="1">
      <alignment horizontal="center"/>
    </xf>
    <xf numFmtId="0" fontId="165" fillId="0" borderId="0" xfId="0" applyFont="1" applyAlignment="1">
      <alignment vertical="center"/>
    </xf>
    <xf numFmtId="0" fontId="166" fillId="0" borderId="0" xfId="0" applyFont="1" applyAlignment="1">
      <alignment vertical="center"/>
    </xf>
    <xf numFmtId="0" fontId="167" fillId="0" borderId="0" xfId="0" applyFont="1"/>
    <xf numFmtId="0" fontId="167" fillId="3" borderId="0" xfId="0" applyFont="1" applyFill="1"/>
    <xf numFmtId="0" fontId="17" fillId="3" borderId="0" xfId="0" applyFont="1" applyFill="1" applyAlignment="1">
      <alignment horizontal="center" vertical="center"/>
    </xf>
    <xf numFmtId="0" fontId="168" fillId="4" borderId="2" xfId="0" applyFont="1" applyFill="1" applyBorder="1" applyAlignment="1">
      <alignment vertical="center"/>
    </xf>
    <xf numFmtId="0" fontId="168" fillId="4" borderId="6" xfId="0" applyFont="1" applyFill="1" applyBorder="1" applyAlignment="1">
      <alignment vertical="center"/>
    </xf>
    <xf numFmtId="0" fontId="169" fillId="5" borderId="3" xfId="0" applyFont="1" applyFill="1" applyBorder="1" applyAlignment="1">
      <alignment vertical="center" wrapText="1"/>
    </xf>
    <xf numFmtId="0" fontId="166"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8" fillId="7" borderId="8" xfId="0" applyFont="1" applyFill="1" applyBorder="1" applyAlignment="1">
      <alignment vertical="center"/>
    </xf>
    <xf numFmtId="170" fontId="168" fillId="7" borderId="5" xfId="11" applyNumberFormat="1" applyFont="1" applyFill="1" applyBorder="1" applyAlignment="1">
      <alignment horizontal="right" vertical="center" wrapText="1"/>
    </xf>
    <xf numFmtId="170" fontId="169" fillId="5" borderId="9" xfId="11" applyNumberFormat="1" applyFont="1" applyFill="1" applyBorder="1" applyAlignment="1">
      <alignment horizontal="right" vertical="center" wrapText="1"/>
    </xf>
    <xf numFmtId="169" fontId="169" fillId="5" borderId="9" xfId="0" applyNumberFormat="1" applyFont="1" applyFill="1" applyBorder="1" applyAlignment="1">
      <alignment wrapText="1"/>
    </xf>
    <xf numFmtId="0" fontId="168" fillId="7" borderId="0" xfId="0" applyFont="1" applyFill="1" applyAlignment="1">
      <alignment vertical="center"/>
    </xf>
    <xf numFmtId="170" fontId="168" fillId="7" borderId="9" xfId="11" applyNumberFormat="1" applyFont="1" applyFill="1" applyBorder="1" applyAlignment="1">
      <alignment horizontal="right" vertical="center" wrapText="1"/>
    </xf>
    <xf numFmtId="170" fontId="168" fillId="7" borderId="9" xfId="0" applyNumberFormat="1" applyFont="1" applyFill="1" applyBorder="1" applyAlignment="1">
      <alignment wrapText="1"/>
    </xf>
    <xf numFmtId="0" fontId="168" fillId="2" borderId="0" xfId="0" applyFont="1" applyFill="1" applyAlignment="1">
      <alignment vertical="center"/>
    </xf>
    <xf numFmtId="3" fontId="168" fillId="2" borderId="5" xfId="0" applyNumberFormat="1" applyFont="1" applyFill="1" applyBorder="1" applyAlignment="1">
      <alignment horizontal="right" vertical="center" wrapText="1"/>
    </xf>
    <xf numFmtId="0" fontId="168"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9"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9" fillId="8" borderId="2" xfId="0" applyFont="1" applyFill="1" applyBorder="1" applyAlignment="1">
      <alignment vertical="center" wrapText="1"/>
    </xf>
    <xf numFmtId="0" fontId="168" fillId="7" borderId="6" xfId="0" applyFont="1" applyFill="1" applyBorder="1" applyAlignment="1">
      <alignment vertical="center"/>
    </xf>
    <xf numFmtId="43" fontId="15" fillId="0" borderId="0" xfId="11" applyFont="1" applyFill="1" applyBorder="1"/>
    <xf numFmtId="169" fontId="160" fillId="0" borderId="0" xfId="0" applyNumberFormat="1" applyFont="1"/>
    <xf numFmtId="169" fontId="23" fillId="0" borderId="10" xfId="11" applyNumberFormat="1" applyFont="1" applyFill="1" applyBorder="1"/>
    <xf numFmtId="169" fontId="163" fillId="0" borderId="0" xfId="13" applyNumberFormat="1" applyFont="1" applyFill="1" applyBorder="1" applyAlignment="1">
      <alignment horizontal="center"/>
    </xf>
    <xf numFmtId="170" fontId="164" fillId="0" borderId="102" xfId="13" applyNumberFormat="1" applyFont="1" applyFill="1" applyBorder="1" applyAlignment="1">
      <alignment horizontal="center"/>
    </xf>
    <xf numFmtId="169" fontId="164" fillId="0" borderId="102" xfId="13" applyNumberFormat="1" applyFont="1" applyFill="1" applyBorder="1" applyAlignment="1">
      <alignment horizontal="center"/>
    </xf>
    <xf numFmtId="170" fontId="170" fillId="0" borderId="0" xfId="11" applyNumberFormat="1" applyFont="1" applyFill="1" applyBorder="1" applyAlignment="1">
      <alignment vertical="center"/>
    </xf>
    <xf numFmtId="170" fontId="160" fillId="0" borderId="0" xfId="0" applyNumberFormat="1" applyFont="1"/>
    <xf numFmtId="0" fontId="167" fillId="9" borderId="0" xfId="0" applyFont="1" applyFill="1"/>
    <xf numFmtId="0" fontId="168" fillId="10" borderId="2" xfId="0" applyFont="1" applyFill="1" applyBorder="1" applyAlignment="1">
      <alignment vertical="center"/>
    </xf>
    <xf numFmtId="0" fontId="168" fillId="10" borderId="6" xfId="0" applyFont="1" applyFill="1" applyBorder="1" applyAlignment="1">
      <alignment vertical="center"/>
    </xf>
    <xf numFmtId="0" fontId="169" fillId="11" borderId="3" xfId="0" applyFont="1" applyFill="1" applyBorder="1" applyAlignment="1">
      <alignment vertical="center" wrapText="1"/>
    </xf>
    <xf numFmtId="0" fontId="166"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8" fillId="13" borderId="8" xfId="0" applyFont="1" applyFill="1" applyBorder="1" applyAlignment="1">
      <alignment vertical="center"/>
    </xf>
    <xf numFmtId="170" fontId="168" fillId="13" borderId="5" xfId="11" applyNumberFormat="1" applyFont="1" applyFill="1" applyBorder="1" applyAlignment="1">
      <alignment horizontal="right" vertical="center" wrapText="1"/>
    </xf>
    <xf numFmtId="170" fontId="169" fillId="11" borderId="9" xfId="11" applyNumberFormat="1" applyFont="1" applyFill="1" applyBorder="1" applyAlignment="1">
      <alignment horizontal="right" vertical="center" wrapText="1"/>
    </xf>
    <xf numFmtId="0" fontId="168" fillId="13" borderId="0" xfId="0" applyFont="1" applyFill="1" applyAlignment="1">
      <alignment vertical="center"/>
    </xf>
    <xf numFmtId="170" fontId="168" fillId="13" borderId="9" xfId="11" applyNumberFormat="1" applyFont="1" applyFill="1" applyBorder="1" applyAlignment="1">
      <alignment horizontal="right" vertical="center" wrapText="1"/>
    </xf>
    <xf numFmtId="0" fontId="168" fillId="14" borderId="0" xfId="0" applyFont="1" applyFill="1" applyAlignment="1">
      <alignment vertical="center"/>
    </xf>
    <xf numFmtId="3" fontId="168" fillId="14" borderId="5" xfId="0" applyNumberFormat="1" applyFont="1" applyFill="1" applyBorder="1" applyAlignment="1">
      <alignment horizontal="right" vertical="center" wrapText="1"/>
    </xf>
    <xf numFmtId="0" fontId="168"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9"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9" fillId="15" borderId="2" xfId="0" applyFont="1" applyFill="1" applyBorder="1" applyAlignment="1">
      <alignment vertical="center" wrapText="1"/>
    </xf>
    <xf numFmtId="0" fontId="168" fillId="13" borderId="6" xfId="0" applyFont="1" applyFill="1" applyBorder="1" applyAlignment="1">
      <alignment vertical="center"/>
    </xf>
    <xf numFmtId="0" fontId="164" fillId="0" borderId="0" xfId="12" applyFont="1" applyFill="1" applyBorder="1" applyAlignment="1">
      <alignment horizontal="left"/>
    </xf>
    <xf numFmtId="0" fontId="27" fillId="0" borderId="0" xfId="0" applyFont="1"/>
    <xf numFmtId="0" fontId="169"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71" fillId="0" borderId="102" xfId="0" applyFont="1" applyBorder="1"/>
    <xf numFmtId="38" fontId="172" fillId="0" borderId="102" xfId="0" applyNumberFormat="1" applyFont="1" applyBorder="1" applyAlignment="1">
      <alignment horizontal="center" vertical="center"/>
    </xf>
    <xf numFmtId="0" fontId="17" fillId="0" borderId="0" xfId="12" applyFont="1" applyBorder="1" applyAlignment="1">
      <alignment horizontal="left"/>
    </xf>
    <xf numFmtId="169" fontId="164" fillId="0" borderId="0" xfId="13" applyNumberFormat="1" applyFont="1" applyFill="1" applyBorder="1" applyAlignment="1">
      <alignment horizontal="center"/>
    </xf>
    <xf numFmtId="0" fontId="166" fillId="11" borderId="4" xfId="0" applyFont="1" applyFill="1" applyBorder="1" applyAlignment="1">
      <alignment horizontal="right" vertical="center" wrapText="1"/>
    </xf>
    <xf numFmtId="170" fontId="168" fillId="13" borderId="4" xfId="11" applyNumberFormat="1" applyFont="1" applyFill="1" applyBorder="1" applyAlignment="1">
      <alignment horizontal="right" vertical="center" wrapText="1"/>
    </xf>
    <xf numFmtId="170" fontId="169" fillId="11" borderId="3" xfId="11" applyNumberFormat="1" applyFont="1" applyFill="1" applyBorder="1" applyAlignment="1">
      <alignment horizontal="right" vertical="center" wrapText="1"/>
    </xf>
    <xf numFmtId="170" fontId="168" fillId="13" borderId="3" xfId="11" applyNumberFormat="1" applyFont="1" applyFill="1" applyBorder="1" applyAlignment="1">
      <alignment horizontal="right" vertical="center" wrapText="1"/>
    </xf>
    <xf numFmtId="3" fontId="168" fillId="14" borderId="4" xfId="0" applyNumberFormat="1" applyFont="1" applyFill="1" applyBorder="1" applyAlignment="1">
      <alignment horizontal="right" vertical="center" wrapText="1"/>
    </xf>
    <xf numFmtId="0" fontId="168"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0" fillId="0" borderId="0" xfId="11" applyNumberFormat="1" applyFont="1"/>
    <xf numFmtId="169" fontId="163" fillId="0" borderId="0" xfId="13" applyNumberFormat="1" applyFont="1" applyFill="1" applyAlignment="1">
      <alignment horizontal="center"/>
    </xf>
    <xf numFmtId="170" fontId="163"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4"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63" fillId="0" borderId="0" xfId="12" applyFont="1" applyAlignment="1">
      <alignment horizontal="left"/>
    </xf>
    <xf numFmtId="169" fontId="163" fillId="0" borderId="0" xfId="13" applyNumberFormat="1" applyFont="1" applyAlignment="1">
      <alignment horizontal="center"/>
    </xf>
    <xf numFmtId="0" fontId="164" fillId="0" borderId="0" xfId="12" applyFont="1" applyAlignment="1">
      <alignment horizontal="left"/>
    </xf>
    <xf numFmtId="169" fontId="164" fillId="0" borderId="0" xfId="13" applyNumberFormat="1" applyFont="1" applyAlignment="1">
      <alignment horizontal="center"/>
    </xf>
    <xf numFmtId="0" fontId="164" fillId="0" borderId="102" xfId="12" applyFont="1" applyBorder="1" applyAlignment="1">
      <alignment horizontal="left"/>
    </xf>
    <xf numFmtId="170" fontId="164" fillId="0" borderId="102" xfId="13" applyNumberFormat="1" applyFont="1" applyBorder="1" applyAlignment="1">
      <alignment horizontal="center"/>
    </xf>
    <xf numFmtId="169" fontId="27" fillId="0" borderId="0" xfId="0" applyNumberFormat="1" applyFont="1"/>
    <xf numFmtId="0" fontId="168" fillId="13" borderId="96" xfId="0" applyFont="1" applyFill="1" applyBorder="1" applyAlignment="1">
      <alignment vertical="center"/>
    </xf>
    <xf numFmtId="0" fontId="169" fillId="11" borderId="4" xfId="0" applyFont="1" applyFill="1" applyBorder="1" applyAlignment="1">
      <alignment vertical="center" wrapText="1"/>
    </xf>
    <xf numFmtId="169" fontId="23" fillId="0" borderId="95" xfId="11" applyNumberFormat="1" applyFont="1" applyFill="1" applyBorder="1"/>
    <xf numFmtId="170" fontId="17" fillId="0" borderId="0" xfId="12" applyNumberFormat="1" applyFont="1" applyFill="1" applyBorder="1" applyAlignment="1">
      <alignment horizontal="center"/>
    </xf>
    <xf numFmtId="0" fontId="168" fillId="10" borderId="97" xfId="0" applyFont="1" applyFill="1" applyBorder="1" applyAlignment="1">
      <alignment vertical="center"/>
    </xf>
    <xf numFmtId="0" fontId="168" fillId="10" borderId="96" xfId="0" applyFont="1" applyFill="1" applyBorder="1" applyAlignment="1">
      <alignment vertical="center"/>
    </xf>
    <xf numFmtId="0" fontId="169" fillId="11" borderId="0" xfId="0" applyFont="1" applyFill="1" applyAlignment="1">
      <alignment vertical="center" wrapText="1"/>
    </xf>
    <xf numFmtId="0" fontId="166"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8" fillId="13" borderId="0" xfId="11" applyNumberFormat="1" applyFont="1" applyFill="1" applyBorder="1" applyAlignment="1">
      <alignment horizontal="right" vertical="center" wrapText="1"/>
    </xf>
    <xf numFmtId="170" fontId="169" fillId="11" borderId="0" xfId="11" applyNumberFormat="1" applyFont="1" applyFill="1" applyBorder="1" applyAlignment="1">
      <alignment horizontal="right" vertical="center" wrapText="1"/>
    </xf>
    <xf numFmtId="3" fontId="168" fillId="14" borderId="0" xfId="0" applyNumberFormat="1" applyFont="1" applyFill="1" applyAlignment="1">
      <alignment horizontal="right" vertical="center" wrapText="1"/>
    </xf>
    <xf numFmtId="0" fontId="168" fillId="10" borderId="0" xfId="0" applyFont="1" applyFill="1" applyAlignment="1">
      <alignment vertical="center"/>
    </xf>
    <xf numFmtId="0" fontId="168" fillId="10" borderId="0" xfId="0" applyFont="1" applyFill="1" applyAlignment="1">
      <alignment horizontal="right" vertical="center"/>
    </xf>
    <xf numFmtId="0" fontId="23" fillId="11" borderId="0" xfId="0" applyFont="1" applyFill="1" applyAlignment="1">
      <alignment horizontal="right" vertical="center" wrapText="1"/>
    </xf>
    <xf numFmtId="0" fontId="169"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7" fillId="0" borderId="0" xfId="11" applyFont="1" applyBorder="1"/>
    <xf numFmtId="0" fontId="161" fillId="9" borderId="0" xfId="0" applyFont="1" applyFill="1"/>
    <xf numFmtId="0" fontId="162" fillId="9" borderId="0" xfId="0" applyFont="1" applyFill="1" applyAlignment="1">
      <alignment horizontal="center" vertical="center"/>
    </xf>
    <xf numFmtId="43" fontId="27" fillId="0" borderId="0" xfId="11" applyFont="1"/>
    <xf numFmtId="8" fontId="27" fillId="0" borderId="0" xfId="0" applyNumberFormat="1" applyFont="1"/>
    <xf numFmtId="0" fontId="174" fillId="0" borderId="0" xfId="3" applyFont="1" applyBorder="1"/>
    <xf numFmtId="0" fontId="174" fillId="14" borderId="0" xfId="3" applyFont="1" applyFill="1" applyBorder="1"/>
    <xf numFmtId="0" fontId="174" fillId="0" borderId="0" xfId="3" applyFont="1" applyBorder="1" applyAlignment="1"/>
    <xf numFmtId="0" fontId="9" fillId="121" borderId="0" xfId="0" applyFont="1" applyFill="1"/>
    <xf numFmtId="0" fontId="175" fillId="121" borderId="0" xfId="0" applyFont="1" applyFill="1"/>
    <xf numFmtId="8" fontId="176" fillId="121" borderId="0" xfId="0" applyNumberFormat="1" applyFont="1" applyFill="1"/>
    <xf numFmtId="0" fontId="176" fillId="121" borderId="0" xfId="0" applyFont="1" applyFill="1"/>
    <xf numFmtId="0" fontId="26" fillId="121" borderId="0" xfId="0" applyFont="1" applyFill="1"/>
    <xf numFmtId="0" fontId="89" fillId="14" borderId="0" xfId="14" applyFont="1" applyFill="1"/>
    <xf numFmtId="0" fontId="177" fillId="14" borderId="0" xfId="14" applyFont="1" applyFill="1"/>
    <xf numFmtId="171" fontId="89" fillId="14" borderId="0" xfId="15" applyNumberFormat="1" applyFont="1" applyFill="1" applyBorder="1"/>
    <xf numFmtId="171" fontId="178" fillId="14" borderId="0" xfId="0" applyNumberFormat="1" applyFont="1" applyFill="1"/>
    <xf numFmtId="0" fontId="179" fillId="0" borderId="1" xfId="0" applyFont="1" applyBorder="1" applyAlignment="1">
      <alignment vertical="center"/>
    </xf>
    <xf numFmtId="0" fontId="180" fillId="0" borderId="0" xfId="0" applyFont="1"/>
    <xf numFmtId="0" fontId="152" fillId="0" borderId="0" xfId="0" applyFont="1"/>
    <xf numFmtId="0" fontId="181" fillId="0" borderId="0" xfId="0" applyFont="1"/>
    <xf numFmtId="0" fontId="9" fillId="0" borderId="103" xfId="0" applyFont="1" applyBorder="1"/>
    <xf numFmtId="0" fontId="0" fillId="0" borderId="103" xfId="0" applyBorder="1"/>
    <xf numFmtId="0" fontId="0" fillId="119" borderId="103" xfId="0" applyFill="1" applyBorder="1"/>
    <xf numFmtId="0" fontId="156" fillId="119" borderId="103" xfId="0" applyFont="1" applyFill="1" applyBorder="1"/>
    <xf numFmtId="0" fontId="166" fillId="0" borderId="0" xfId="16" applyFont="1"/>
    <xf numFmtId="0" fontId="23" fillId="12" borderId="11" xfId="0" applyFont="1" applyFill="1" applyBorder="1" applyAlignment="1">
      <alignment horizontal="left" vertical="center" wrapText="1" indent="1"/>
    </xf>
    <xf numFmtId="169" fontId="23" fillId="0" borderId="12" xfId="21" applyNumberFormat="1" applyFont="1" applyFill="1" applyBorder="1"/>
    <xf numFmtId="171" fontId="166" fillId="0" borderId="0" xfId="16" applyNumberFormat="1" applyFont="1"/>
    <xf numFmtId="0" fontId="162" fillId="117" borderId="0" xfId="0" applyFont="1" applyFill="1" applyAlignment="1">
      <alignment horizontal="center"/>
    </xf>
    <xf numFmtId="0" fontId="162" fillId="117" borderId="0" xfId="0" applyFont="1" applyFill="1" applyAlignment="1">
      <alignment horizontal="center" vertical="center"/>
    </xf>
    <xf numFmtId="0" fontId="158" fillId="0" borderId="0" xfId="0" applyFont="1"/>
    <xf numFmtId="0" fontId="173" fillId="0" borderId="0" xfId="12" quotePrefix="1" applyFont="1" applyFill="1" applyBorder="1" applyAlignment="1">
      <alignment horizontal="left" vertical="center" wrapText="1"/>
    </xf>
    <xf numFmtId="0" fontId="162" fillId="122" borderId="102" xfId="12" applyFont="1" applyFill="1" applyBorder="1" applyAlignment="1">
      <alignment horizontal="left"/>
    </xf>
    <xf numFmtId="169" fontId="161" fillId="122" borderId="102" xfId="13" applyNumberFormat="1" applyFont="1" applyFill="1" applyBorder="1" applyAlignment="1">
      <alignment horizontal="center"/>
    </xf>
    <xf numFmtId="0" fontId="182" fillId="0" borderId="0" xfId="0" applyFont="1" applyAlignment="1">
      <alignment vertical="center"/>
    </xf>
    <xf numFmtId="1" fontId="29"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02" xfId="12" applyFont="1" applyFill="1" applyBorder="1" applyAlignment="1">
      <alignment horizontal="left"/>
    </xf>
    <xf numFmtId="170" fontId="20" fillId="0" borderId="0" xfId="23" applyNumberFormat="1" applyFont="1" applyFill="1" applyBorder="1" applyAlignment="1">
      <alignment horizontal="left" indent="2"/>
    </xf>
    <xf numFmtId="0" fontId="149" fillId="14" borderId="0" xfId="2" applyFont="1" applyFill="1" applyAlignment="1">
      <alignment vertical="center"/>
    </xf>
    <xf numFmtId="0" fontId="149" fillId="14" borderId="0" xfId="2" applyFont="1" applyFill="1" applyAlignment="1">
      <alignment horizontal="center" vertical="center"/>
    </xf>
    <xf numFmtId="0" fontId="29" fillId="20" borderId="0" xfId="7868" applyFont="1" applyFill="1" applyAlignment="1">
      <alignment horizontal="left" vertical="center"/>
    </xf>
    <xf numFmtId="170" fontId="29" fillId="20" borderId="0" xfId="11" applyNumberFormat="1" applyFont="1" applyFill="1" applyAlignment="1">
      <alignment horizontal="center" vertical="center"/>
    </xf>
    <xf numFmtId="0" fontId="149" fillId="115" borderId="0" xfId="2" applyFont="1" applyFill="1" applyAlignment="1">
      <alignment vertical="center"/>
    </xf>
    <xf numFmtId="0" fontId="0" fillId="0" borderId="0" xfId="0" applyAlignment="1">
      <alignment horizontal="center" vertical="center"/>
    </xf>
    <xf numFmtId="170" fontId="29" fillId="20" borderId="0" xfId="11" applyNumberFormat="1" applyFont="1" applyFill="1" applyAlignment="1">
      <alignment horizontal="left" vertical="center"/>
    </xf>
    <xf numFmtId="0" fontId="20" fillId="0" borderId="102" xfId="12" applyFont="1" applyFill="1" applyBorder="1" applyAlignment="1">
      <alignment horizontal="left" wrapText="1"/>
    </xf>
    <xf numFmtId="0" fontId="183" fillId="14" borderId="0" xfId="0" applyFont="1" applyFill="1" applyAlignment="1">
      <alignment vertical="center"/>
    </xf>
    <xf numFmtId="169" fontId="19" fillId="0" borderId="0" xfId="23" applyNumberFormat="1" applyFont="1" applyFill="1" applyBorder="1" applyAlignment="1">
      <alignment horizontal="right" indent="2"/>
    </xf>
    <xf numFmtId="0" fontId="184" fillId="14" borderId="0" xfId="0" applyFont="1" applyFill="1" applyAlignment="1">
      <alignment vertical="center"/>
    </xf>
    <xf numFmtId="0" fontId="184" fillId="0" borderId="0" xfId="0" applyFont="1" applyAlignment="1">
      <alignment horizontal="center" vertical="center"/>
    </xf>
    <xf numFmtId="0" fontId="150" fillId="14" borderId="0" xfId="0" applyFont="1" applyFill="1" applyAlignment="1">
      <alignment horizontal="center" vertical="center"/>
    </xf>
    <xf numFmtId="0" fontId="150" fillId="14" borderId="0" xfId="0" applyFont="1" applyFill="1" applyAlignment="1">
      <alignment vertical="center"/>
    </xf>
    <xf numFmtId="0" fontId="183" fillId="14" borderId="0" xfId="2" applyFont="1" applyFill="1" applyAlignment="1">
      <alignment vertical="center"/>
    </xf>
    <xf numFmtId="219" fontId="183" fillId="14" borderId="0" xfId="7867" applyNumberFormat="1" applyFont="1" applyFill="1" applyBorder="1" applyAlignment="1">
      <alignment horizontal="center" vertical="center"/>
    </xf>
    <xf numFmtId="170" fontId="183" fillId="14" borderId="0" xfId="5111" applyNumberFormat="1" applyFont="1" applyFill="1" applyBorder="1" applyAlignment="1">
      <alignment horizontal="center" vertical="center"/>
    </xf>
    <xf numFmtId="0" fontId="29" fillId="14" borderId="0" xfId="7868" applyFont="1" applyFill="1" applyAlignment="1">
      <alignment horizontal="left" vertical="center"/>
    </xf>
    <xf numFmtId="219" fontId="29" fillId="14" borderId="0" xfId="7867" applyNumberFormat="1" applyFont="1" applyFill="1" applyBorder="1" applyAlignment="1">
      <alignment horizontal="center" vertical="center"/>
    </xf>
    <xf numFmtId="1" fontId="29" fillId="114" borderId="0" xfId="0" applyNumberFormat="1" applyFont="1" applyFill="1" applyAlignment="1">
      <alignment vertical="center"/>
    </xf>
    <xf numFmtId="0" fontId="162" fillId="16" borderId="0" xfId="0" applyFont="1" applyFill="1" applyAlignment="1">
      <alignment horizontal="center" vertical="center" wrapText="1"/>
    </xf>
    <xf numFmtId="0" fontId="161" fillId="117" borderId="0" xfId="0" applyFont="1" applyFill="1" applyAlignment="1">
      <alignment horizontal="center" vertical="center" wrapText="1"/>
    </xf>
    <xf numFmtId="0" fontId="185" fillId="0" borderId="0" xfId="0" applyFont="1" applyAlignment="1">
      <alignment horizontal="left" vertical="center"/>
    </xf>
    <xf numFmtId="0" fontId="186" fillId="0" borderId="0" xfId="0" applyFont="1" applyAlignment="1">
      <alignment horizontal="left" vertical="center"/>
    </xf>
    <xf numFmtId="0" fontId="160" fillId="14" borderId="0" xfId="0" applyFont="1" applyFill="1"/>
    <xf numFmtId="0" fontId="162" fillId="16" borderId="103" xfId="0" applyFont="1" applyFill="1" applyBorder="1" applyAlignment="1">
      <alignment horizontal="left" vertical="center" wrapText="1"/>
    </xf>
    <xf numFmtId="0" fontId="162" fillId="16" borderId="103" xfId="0" applyFont="1" applyFill="1" applyBorder="1" applyAlignment="1">
      <alignment horizontal="center" vertical="center" wrapText="1"/>
    </xf>
    <xf numFmtId="0" fontId="173" fillId="0" borderId="103" xfId="12" quotePrefix="1" applyFont="1" applyFill="1" applyBorder="1" applyAlignment="1">
      <alignment horizontal="left" vertical="center" wrapText="1"/>
    </xf>
    <xf numFmtId="0" fontId="163" fillId="0" borderId="0" xfId="0" applyFont="1" applyAlignment="1">
      <alignment wrapText="1"/>
    </xf>
    <xf numFmtId="0" fontId="17" fillId="3" borderId="0" xfId="0" applyFont="1" applyFill="1" applyAlignment="1">
      <alignment wrapText="1"/>
    </xf>
    <xf numFmtId="0" fontId="168" fillId="4" borderId="2" xfId="0" applyFont="1" applyFill="1" applyBorder="1" applyAlignment="1">
      <alignment wrapText="1"/>
    </xf>
    <xf numFmtId="0" fontId="166"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9" fillId="20" borderId="0" xfId="11" applyNumberFormat="1" applyFont="1" applyFill="1" applyAlignment="1">
      <alignment horizontal="right" vertical="center"/>
    </xf>
    <xf numFmtId="170" fontId="149" fillId="115" borderId="0" xfId="11" applyNumberFormat="1" applyFont="1" applyFill="1" applyAlignment="1">
      <alignment horizontal="right" vertical="center"/>
    </xf>
    <xf numFmtId="170" fontId="149" fillId="14" borderId="0" xfId="11" applyNumberFormat="1" applyFont="1" applyFill="1" applyAlignment="1">
      <alignment horizontal="right" vertical="center"/>
    </xf>
    <xf numFmtId="170" fontId="0" fillId="0" borderId="0" xfId="11" applyNumberFormat="1" applyFont="1" applyAlignment="1">
      <alignment horizontal="right"/>
    </xf>
    <xf numFmtId="170" fontId="150" fillId="14" borderId="0" xfId="11" applyNumberFormat="1" applyFont="1" applyFill="1" applyBorder="1" applyAlignment="1">
      <alignment horizontal="right" vertical="center"/>
    </xf>
    <xf numFmtId="170" fontId="29"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70" fontId="20" fillId="0" borderId="102" xfId="23" applyNumberFormat="1" applyFont="1" applyFill="1" applyBorder="1" applyAlignment="1">
      <alignment horizontal="center"/>
    </xf>
    <xf numFmtId="169" fontId="20" fillId="0" borderId="102" xfId="23" applyNumberFormat="1" applyFont="1" applyFill="1" applyBorder="1" applyAlignment="1">
      <alignment horizontal="center"/>
    </xf>
    <xf numFmtId="170" fontId="19" fillId="14" borderId="0" xfId="11" applyNumberFormat="1" applyFont="1" applyFill="1" applyBorder="1" applyAlignment="1">
      <alignment horizontal="right" indent="2"/>
    </xf>
    <xf numFmtId="0" fontId="0" fillId="0" borderId="0" xfId="0" applyAlignment="1">
      <alignment horizontal="center" vertical="center" wrapText="1"/>
    </xf>
    <xf numFmtId="0" fontId="188"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83"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4" fillId="0" borderId="102"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5" xfId="11" applyNumberFormat="1" applyFont="1" applyBorder="1"/>
    <xf numFmtId="170" fontId="163" fillId="0" borderId="0" xfId="11" applyNumberFormat="1" applyFont="1" applyAlignment="1">
      <alignment horizontal="center"/>
    </xf>
    <xf numFmtId="3" fontId="163" fillId="0" borderId="0" xfId="0" applyNumberFormat="1" applyFont="1" applyAlignment="1">
      <alignment wrapText="1"/>
    </xf>
    <xf numFmtId="3" fontId="164" fillId="0" borderId="102" xfId="0" applyNumberFormat="1" applyFont="1" applyBorder="1" applyAlignment="1">
      <alignment wrapText="1"/>
    </xf>
    <xf numFmtId="0" fontId="164" fillId="0" borderId="0" xfId="0" applyFont="1" applyAlignment="1">
      <alignment wrapText="1"/>
    </xf>
    <xf numFmtId="0" fontId="190" fillId="0" borderId="0" xfId="0" applyFont="1" applyAlignment="1">
      <alignment wrapText="1"/>
    </xf>
    <xf numFmtId="3" fontId="163" fillId="0" borderId="0" xfId="0" applyNumberFormat="1" applyFont="1" applyAlignment="1">
      <alignment horizontal="right" wrapText="1"/>
    </xf>
    <xf numFmtId="0" fontId="163" fillId="0" borderId="0" xfId="0" applyFont="1" applyAlignment="1">
      <alignment horizontal="right" wrapText="1"/>
    </xf>
    <xf numFmtId="3" fontId="164" fillId="0" borderId="102"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8" fillId="4" borderId="2" xfId="0" applyFont="1" applyFill="1" applyBorder="1" applyAlignment="1">
      <alignment horizontal="right" wrapText="1"/>
    </xf>
    <xf numFmtId="0" fontId="166"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104" xfId="0" applyNumberFormat="1" applyFont="1" applyBorder="1" applyAlignment="1">
      <alignment horizontal="right" wrapText="1"/>
    </xf>
    <xf numFmtId="0" fontId="23" fillId="0" borderId="104" xfId="0" applyFont="1" applyBorder="1" applyAlignment="1">
      <alignment horizontal="right" wrapText="1"/>
    </xf>
    <xf numFmtId="3" fontId="168"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9" fillId="5" borderId="9" xfId="0" applyNumberFormat="1" applyFont="1" applyFill="1" applyBorder="1" applyAlignment="1">
      <alignment horizontal="right" wrapText="1"/>
    </xf>
    <xf numFmtId="0" fontId="168" fillId="2" borderId="5" xfId="0" applyFont="1" applyFill="1" applyBorder="1" applyAlignment="1">
      <alignment horizontal="right" wrapText="1"/>
    </xf>
    <xf numFmtId="0" fontId="168"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87" fillId="0" borderId="0" xfId="0" applyFont="1" applyAlignment="1">
      <alignment horizontal="right" wrapText="1"/>
    </xf>
    <xf numFmtId="169" fontId="163" fillId="0" borderId="0" xfId="13" applyNumberFormat="1" applyFont="1" applyFill="1" applyBorder="1" applyAlignment="1">
      <alignment horizontal="right"/>
    </xf>
    <xf numFmtId="170" fontId="164" fillId="0" borderId="102" xfId="13" applyNumberFormat="1" applyFont="1" applyFill="1" applyBorder="1" applyAlignment="1">
      <alignment horizontal="right"/>
    </xf>
    <xf numFmtId="0" fontId="17" fillId="0" borderId="0" xfId="12" applyFont="1" applyFill="1" applyBorder="1" applyAlignment="1">
      <alignment horizontal="right"/>
    </xf>
    <xf numFmtId="169" fontId="164" fillId="0" borderId="102" xfId="13" applyNumberFormat="1" applyFont="1" applyFill="1" applyBorder="1" applyAlignment="1">
      <alignment horizontal="right"/>
    </xf>
    <xf numFmtId="3" fontId="168" fillId="7" borderId="9" xfId="0" applyNumberFormat="1" applyFont="1" applyFill="1" applyBorder="1" applyAlignment="1">
      <alignment horizontal="right" wrapText="1"/>
    </xf>
    <xf numFmtId="3" fontId="191"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103" xfId="0" applyFont="1" applyFill="1" applyBorder="1" applyAlignment="1">
      <alignment horizontal="left" vertical="center" wrapText="1"/>
    </xf>
    <xf numFmtId="0" fontId="25" fillId="16" borderId="103"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192" fillId="0" borderId="103"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8" fillId="7" borderId="9" xfId="11" applyNumberFormat="1" applyFont="1" applyFill="1" applyBorder="1" applyAlignment="1">
      <alignment horizontal="right" wrapText="1"/>
    </xf>
    <xf numFmtId="170" fontId="29" fillId="114" borderId="0" xfId="11" applyNumberFormat="1" applyFont="1" applyFill="1" applyAlignment="1">
      <alignment horizontal="center" vertical="center" wrapText="1"/>
    </xf>
    <xf numFmtId="0" fontId="29" fillId="120" borderId="100" xfId="0" applyFont="1" applyFill="1" applyBorder="1" applyAlignment="1">
      <alignment horizontal="center" vertical="center" wrapText="1"/>
    </xf>
    <xf numFmtId="0" fontId="185" fillId="0" borderId="101" xfId="0" applyFont="1" applyBorder="1" applyAlignment="1">
      <alignment horizontal="left" vertical="center"/>
    </xf>
    <xf numFmtId="0" fontId="32" fillId="14" borderId="0" xfId="7873" applyFont="1" applyFill="1" applyAlignment="1">
      <alignment horizontal="center"/>
    </xf>
    <xf numFmtId="0" fontId="31" fillId="14" borderId="0" xfId="7873" applyFont="1" applyFill="1" applyAlignment="1">
      <alignment horizontal="center" vertical="center" wrapText="1"/>
    </xf>
    <xf numFmtId="0" fontId="25" fillId="17" borderId="17" xfId="7873" applyFont="1" applyFill="1" applyBorder="1" applyAlignment="1">
      <alignment vertical="center" wrapText="1"/>
    </xf>
    <xf numFmtId="0" fontId="25" fillId="17" borderId="17" xfId="7873" applyFont="1" applyFill="1" applyBorder="1" applyAlignment="1">
      <alignment horizontal="left" vertical="center" wrapText="1"/>
    </xf>
    <xf numFmtId="173" fontId="25" fillId="17" borderId="17" xfId="7873" applyNumberFormat="1" applyFont="1" applyFill="1" applyBorder="1" applyAlignment="1">
      <alignment horizontal="right" vertical="center" wrapText="1"/>
    </xf>
    <xf numFmtId="169" fontId="25" fillId="17" borderId="17" xfId="7874" applyNumberFormat="1" applyFont="1" applyFill="1" applyBorder="1" applyAlignment="1">
      <alignment horizontal="right" vertical="center" wrapText="1"/>
    </xf>
    <xf numFmtId="173" fontId="31" fillId="14" borderId="0" xfId="7873" applyNumberFormat="1" applyFont="1" applyFill="1" applyAlignment="1">
      <alignment horizontal="right" vertical="center" wrapText="1"/>
    </xf>
    <xf numFmtId="169" fontId="31" fillId="14" borderId="0" xfId="7874" applyNumberFormat="1" applyFont="1" applyFill="1" applyBorder="1" applyAlignment="1">
      <alignment horizontal="right" vertical="center" wrapText="1"/>
    </xf>
    <xf numFmtId="0" fontId="30" fillId="18" borderId="19" xfId="7873" applyFont="1" applyFill="1" applyBorder="1" applyAlignment="1">
      <alignment horizontal="left" vertical="center" indent="1"/>
    </xf>
    <xf numFmtId="171" fontId="30" fillId="18" borderId="19" xfId="7874" applyNumberFormat="1" applyFont="1" applyFill="1" applyBorder="1" applyAlignment="1">
      <alignment horizontal="center"/>
    </xf>
    <xf numFmtId="14" fontId="30" fillId="18" borderId="19" xfId="7874" applyNumberFormat="1" applyFont="1" applyFill="1" applyBorder="1" applyAlignment="1">
      <alignment horizontal="center"/>
    </xf>
    <xf numFmtId="1" fontId="30" fillId="14" borderId="19" xfId="7873" applyNumberFormat="1" applyFont="1" applyFill="1" applyBorder="1" applyAlignment="1">
      <alignment horizontal="center"/>
    </xf>
    <xf numFmtId="9" fontId="30" fillId="18" borderId="20" xfId="7875" applyFont="1" applyFill="1" applyBorder="1" applyAlignment="1">
      <alignment horizontal="right"/>
    </xf>
    <xf numFmtId="9" fontId="30" fillId="18" borderId="21" xfId="7875" applyFont="1" applyFill="1" applyBorder="1" applyAlignment="1">
      <alignment horizontal="center"/>
    </xf>
    <xf numFmtId="169" fontId="30" fillId="14" borderId="19" xfId="7874" applyNumberFormat="1" applyFont="1" applyFill="1" applyBorder="1"/>
    <xf numFmtId="173" fontId="30" fillId="14" borderId="22" xfId="7874" applyNumberFormat="1" applyFont="1" applyFill="1" applyBorder="1"/>
    <xf numFmtId="3" fontId="30" fillId="14" borderId="22" xfId="7874" applyNumberFormat="1" applyFont="1" applyFill="1" applyBorder="1"/>
    <xf numFmtId="0" fontId="30" fillId="14" borderId="25" xfId="7873" applyFont="1" applyFill="1" applyBorder="1"/>
    <xf numFmtId="174" fontId="30" fillId="14" borderId="0" xfId="7873" applyNumberFormat="1" applyFont="1" applyFill="1" applyAlignment="1">
      <alignment horizontal="center"/>
    </xf>
    <xf numFmtId="173" fontId="31" fillId="19" borderId="19" xfId="7873" applyNumberFormat="1" applyFont="1" applyFill="1" applyBorder="1" applyAlignment="1">
      <alignment horizontal="right" vertical="center" wrapText="1"/>
    </xf>
    <xf numFmtId="169" fontId="31" fillId="19" borderId="19" xfId="7874" applyNumberFormat="1" applyFont="1" applyFill="1" applyBorder="1" applyAlignment="1">
      <alignment horizontal="right" vertical="center" wrapText="1"/>
    </xf>
    <xf numFmtId="0" fontId="24" fillId="14" borderId="19" xfId="7873" applyFont="1" applyFill="1" applyBorder="1" applyAlignment="1">
      <alignment horizontal="center" vertical="center"/>
    </xf>
    <xf numFmtId="0" fontId="30" fillId="14" borderId="0" xfId="7873" applyFont="1" applyFill="1" applyAlignment="1">
      <alignment horizontal="center" vertical="center"/>
    </xf>
    <xf numFmtId="0" fontId="30" fillId="18" borderId="0" xfId="7873" applyFont="1" applyFill="1" applyAlignment="1">
      <alignment horizontal="left" vertical="center" indent="1"/>
    </xf>
    <xf numFmtId="171" fontId="30" fillId="18" borderId="0" xfId="7874" applyNumberFormat="1" applyFont="1" applyFill="1" applyBorder="1" applyAlignment="1">
      <alignment horizontal="center"/>
    </xf>
    <xf numFmtId="14" fontId="30" fillId="18" borderId="0" xfId="7874" applyNumberFormat="1" applyFont="1" applyFill="1" applyBorder="1" applyAlignment="1">
      <alignment horizontal="center"/>
    </xf>
    <xf numFmtId="14" fontId="30" fillId="0" borderId="0" xfId="7874" applyNumberFormat="1" applyFont="1" applyFill="1" applyBorder="1" applyAlignment="1">
      <alignment horizontal="center"/>
    </xf>
    <xf numFmtId="1" fontId="30" fillId="14" borderId="0" xfId="7873" applyNumberFormat="1" applyFont="1" applyFill="1" applyAlignment="1">
      <alignment horizontal="center"/>
    </xf>
    <xf numFmtId="9" fontId="30" fillId="0" borderId="0" xfId="7875" applyFont="1" applyFill="1" applyBorder="1" applyAlignment="1">
      <alignment horizontal="right"/>
    </xf>
    <xf numFmtId="0" fontId="30" fillId="18" borderId="0" xfId="7875" applyNumberFormat="1" applyFont="1" applyFill="1" applyBorder="1" applyAlignment="1">
      <alignment horizontal="center" vertical="center" wrapText="1"/>
    </xf>
    <xf numFmtId="169" fontId="30" fillId="14" borderId="0" xfId="7874" applyNumberFormat="1" applyFont="1" applyFill="1" applyBorder="1"/>
    <xf numFmtId="0" fontId="30" fillId="14" borderId="19" xfId="7873" applyFont="1" applyFill="1" applyBorder="1" applyAlignment="1">
      <alignment horizontal="left" vertical="center"/>
    </xf>
    <xf numFmtId="0" fontId="30" fillId="14" borderId="19" xfId="7873" applyFont="1" applyFill="1" applyBorder="1" applyAlignment="1">
      <alignment horizontal="center" vertical="center"/>
    </xf>
    <xf numFmtId="0" fontId="31" fillId="14" borderId="0" xfId="7873" applyFont="1" applyFill="1" applyAlignment="1">
      <alignment horizontal="left" vertical="center" wrapText="1"/>
    </xf>
    <xf numFmtId="0" fontId="30" fillId="0" borderId="19" xfId="7873" applyFont="1" applyBorder="1" applyAlignment="1">
      <alignment horizontal="left" vertical="center" indent="1"/>
    </xf>
    <xf numFmtId="171" fontId="30" fillId="0" borderId="19" xfId="7874" applyNumberFormat="1" applyFont="1" applyFill="1" applyBorder="1" applyAlignment="1">
      <alignment horizontal="center"/>
    </xf>
    <xf numFmtId="14" fontId="30" fillId="0" borderId="19" xfId="7874" applyNumberFormat="1" applyFont="1" applyFill="1" applyBorder="1" applyAlignment="1">
      <alignment horizontal="center"/>
    </xf>
    <xf numFmtId="1" fontId="30" fillId="0" borderId="19" xfId="7873" applyNumberFormat="1" applyFont="1" applyBorder="1" applyAlignment="1">
      <alignment horizontal="center"/>
    </xf>
    <xf numFmtId="9" fontId="30" fillId="0" borderId="20" xfId="7875" applyFont="1" applyFill="1" applyBorder="1" applyAlignment="1">
      <alignment horizontal="right"/>
    </xf>
    <xf numFmtId="0" fontId="30" fillId="18" borderId="21" xfId="19" applyNumberFormat="1" applyFont="1" applyFill="1" applyBorder="1" applyAlignment="1">
      <alignment horizontal="center" vertical="center" wrapText="1"/>
    </xf>
    <xf numFmtId="169" fontId="30" fillId="0" borderId="19" xfId="7874" applyNumberFormat="1" applyFont="1" applyFill="1" applyBorder="1"/>
    <xf numFmtId="173" fontId="30" fillId="0" borderId="19" xfId="7874" applyNumberFormat="1" applyFont="1" applyFill="1" applyBorder="1"/>
    <xf numFmtId="9" fontId="30" fillId="18" borderId="0" xfId="7875" applyFont="1" applyFill="1" applyBorder="1" applyAlignment="1">
      <alignment horizontal="center"/>
    </xf>
    <xf numFmtId="174" fontId="30" fillId="18" borderId="0" xfId="7875" applyNumberFormat="1" applyFont="1" applyFill="1" applyBorder="1" applyAlignment="1">
      <alignment horizontal="center"/>
    </xf>
    <xf numFmtId="174" fontId="30" fillId="18" borderId="0" xfId="7874" applyNumberFormat="1" applyFont="1" applyFill="1" applyBorder="1" applyAlignment="1">
      <alignment horizontal="center"/>
    </xf>
    <xf numFmtId="0" fontId="30" fillId="14" borderId="27" xfId="7873" applyFont="1" applyFill="1" applyBorder="1" applyAlignment="1">
      <alignment horizontal="center" vertical="center"/>
    </xf>
    <xf numFmtId="174" fontId="31" fillId="14" borderId="0" xfId="7873" applyNumberFormat="1" applyFont="1" applyFill="1" applyAlignment="1">
      <alignment horizontal="center" vertical="center" wrapText="1"/>
    </xf>
    <xf numFmtId="10" fontId="30" fillId="14" borderId="0" xfId="7873" applyNumberFormat="1" applyFont="1" applyFill="1" applyAlignment="1">
      <alignment horizontal="right"/>
    </xf>
    <xf numFmtId="10" fontId="30" fillId="14" borderId="0" xfId="7873" applyNumberFormat="1" applyFont="1" applyFill="1" applyAlignment="1">
      <alignment horizontal="center"/>
    </xf>
    <xf numFmtId="174" fontId="30" fillId="14" borderId="0" xfId="7873" applyNumberFormat="1" applyFont="1" applyFill="1" applyAlignment="1">
      <alignment horizontal="left"/>
    </xf>
    <xf numFmtId="173" fontId="30" fillId="14" borderId="19" xfId="7874" applyNumberFormat="1" applyFont="1" applyFill="1" applyBorder="1"/>
    <xf numFmtId="173" fontId="25" fillId="20" borderId="17" xfId="7873" applyNumberFormat="1" applyFont="1" applyFill="1" applyBorder="1" applyAlignment="1">
      <alignment horizontal="right" vertical="center" wrapText="1"/>
    </xf>
    <xf numFmtId="0" fontId="30" fillId="14" borderId="0" xfId="7873" applyFont="1" applyFill="1"/>
    <xf numFmtId="169" fontId="30" fillId="14" borderId="0" xfId="7873" applyNumberFormat="1" applyFont="1" applyFill="1"/>
    <xf numFmtId="4" fontId="30" fillId="14" borderId="0" xfId="7873" applyNumberFormat="1" applyFont="1" applyFill="1" applyAlignment="1">
      <alignment horizontal="center"/>
    </xf>
    <xf numFmtId="43" fontId="30" fillId="14" borderId="0" xfId="7873" applyNumberFormat="1" applyFont="1" applyFill="1"/>
    <xf numFmtId="0" fontId="30" fillId="14" borderId="19" xfId="7873" applyFont="1" applyFill="1" applyBorder="1" applyAlignment="1">
      <alignment horizontal="center" vertical="center" wrapText="1"/>
    </xf>
    <xf numFmtId="0" fontId="4" fillId="0" borderId="0" xfId="22"/>
    <xf numFmtId="43" fontId="30" fillId="14" borderId="0" xfId="7873" applyNumberFormat="1" applyFont="1" applyFill="1" applyAlignment="1">
      <alignment horizontal="center"/>
    </xf>
    <xf numFmtId="0" fontId="30" fillId="14" borderId="0" xfId="7873" applyFont="1" applyFill="1" applyAlignment="1">
      <alignment horizontal="center"/>
    </xf>
    <xf numFmtId="0" fontId="30" fillId="18" borderId="21" xfId="7875" applyNumberFormat="1" applyFont="1" applyFill="1" applyBorder="1" applyAlignment="1">
      <alignment horizontal="center" vertical="center" wrapText="1"/>
    </xf>
    <xf numFmtId="0" fontId="30" fillId="14" borderId="0" xfId="7873" applyFont="1" applyFill="1" applyAlignment="1">
      <alignment horizontal="right"/>
    </xf>
    <xf numFmtId="174" fontId="30" fillId="0" borderId="0" xfId="7873" applyNumberFormat="1" applyFont="1" applyAlignment="1">
      <alignment horizontal="left"/>
    </xf>
    <xf numFmtId="0" fontId="30" fillId="14" borderId="19" xfId="7873" applyFont="1" applyFill="1" applyBorder="1" applyAlignment="1">
      <alignment vertical="center"/>
    </xf>
    <xf numFmtId="174" fontId="30" fillId="0" borderId="0" xfId="7875" applyNumberFormat="1" applyFont="1" applyFill="1" applyBorder="1" applyAlignment="1">
      <alignment horizontal="left"/>
    </xf>
    <xf numFmtId="171" fontId="30" fillId="18" borderId="0" xfId="7874" applyNumberFormat="1" applyFont="1" applyFill="1" applyBorder="1" applyAlignment="1"/>
    <xf numFmtId="1" fontId="30" fillId="18" borderId="0" xfId="7874" applyNumberFormat="1" applyFont="1" applyFill="1" applyBorder="1" applyAlignment="1">
      <alignment horizontal="center"/>
    </xf>
    <xf numFmtId="10" fontId="30" fillId="18" borderId="0" xfId="7875" applyNumberFormat="1" applyFont="1" applyFill="1" applyBorder="1" applyAlignment="1">
      <alignment horizontal="right"/>
    </xf>
    <xf numFmtId="10" fontId="30" fillId="18" borderId="0" xfId="7875" applyNumberFormat="1" applyFont="1" applyFill="1" applyBorder="1" applyAlignment="1">
      <alignment horizontal="center"/>
    </xf>
    <xf numFmtId="175" fontId="30" fillId="14" borderId="19" xfId="7873" applyNumberFormat="1" applyFont="1" applyFill="1" applyBorder="1" applyAlignment="1">
      <alignment horizontal="center"/>
    </xf>
    <xf numFmtId="0" fontId="31" fillId="14" borderId="0" xfId="7873" applyFont="1" applyFill="1" applyAlignment="1">
      <alignment vertical="center" wrapText="1"/>
    </xf>
    <xf numFmtId="0" fontId="30" fillId="0" borderId="21" xfId="7875" applyNumberFormat="1" applyFont="1" applyFill="1" applyBorder="1" applyAlignment="1">
      <alignment horizontal="center" vertical="center" wrapText="1"/>
    </xf>
    <xf numFmtId="0" fontId="30" fillId="14" borderId="25" xfId="7873" applyFont="1" applyFill="1" applyBorder="1" applyAlignment="1">
      <alignment horizontal="center" vertical="center"/>
    </xf>
    <xf numFmtId="174" fontId="30" fillId="0" borderId="0" xfId="7875" applyNumberFormat="1" applyFont="1" applyFill="1" applyBorder="1" applyAlignment="1">
      <alignment horizontal="center"/>
    </xf>
    <xf numFmtId="0" fontId="31" fillId="0" borderId="0" xfId="7873" applyFont="1" applyAlignment="1">
      <alignment horizontal="center" vertical="center" wrapText="1"/>
    </xf>
    <xf numFmtId="0" fontId="30" fillId="18" borderId="0" xfId="7873" applyFont="1" applyFill="1" applyAlignment="1">
      <alignment horizontal="left" vertical="center" wrapText="1"/>
    </xf>
    <xf numFmtId="171" fontId="30" fillId="18" borderId="0" xfId="7874" applyNumberFormat="1" applyFont="1" applyFill="1" applyBorder="1" applyAlignment="1">
      <alignment vertical="center" wrapText="1"/>
    </xf>
    <xf numFmtId="14" fontId="30" fillId="18" borderId="0" xfId="7874" applyNumberFormat="1" applyFont="1" applyFill="1" applyBorder="1" applyAlignment="1">
      <alignment horizontal="center" vertical="center" wrapText="1"/>
    </xf>
    <xf numFmtId="171" fontId="30" fillId="18" borderId="0" xfId="7874" applyNumberFormat="1" applyFont="1" applyFill="1" applyBorder="1" applyAlignment="1">
      <alignment horizontal="center" vertical="center" wrapText="1"/>
    </xf>
    <xf numFmtId="9" fontId="30" fillId="18" borderId="0" xfId="7875" applyFont="1" applyFill="1" applyBorder="1" applyAlignment="1">
      <alignment horizontal="right" vertical="center" wrapText="1"/>
    </xf>
    <xf numFmtId="9" fontId="30" fillId="18" borderId="0" xfId="7875" applyFont="1" applyFill="1" applyBorder="1" applyAlignment="1">
      <alignment horizontal="center" vertical="center" wrapText="1"/>
    </xf>
    <xf numFmtId="174" fontId="30" fillId="0" borderId="0" xfId="7875" applyNumberFormat="1" applyFont="1" applyFill="1" applyBorder="1" applyAlignment="1">
      <alignment horizontal="left" vertical="center" wrapText="1"/>
    </xf>
    <xf numFmtId="171" fontId="30" fillId="18" borderId="0" xfId="7873" applyNumberFormat="1" applyFont="1" applyFill="1" applyAlignment="1">
      <alignment horizontal="left" vertical="center" indent="1"/>
    </xf>
    <xf numFmtId="173" fontId="31" fillId="14" borderId="0" xfId="7873" applyNumberFormat="1" applyFont="1" applyFill="1" applyAlignment="1">
      <alignment horizontal="center" vertical="center" wrapText="1"/>
    </xf>
    <xf numFmtId="0" fontId="30" fillId="0" borderId="0" xfId="7873" applyFont="1" applyAlignment="1">
      <alignment horizontal="left" vertical="center" indent="1"/>
    </xf>
    <xf numFmtId="1" fontId="30" fillId="0" borderId="0" xfId="7873" applyNumberFormat="1" applyFont="1" applyAlignment="1">
      <alignment horizontal="center"/>
    </xf>
    <xf numFmtId="0" fontId="30" fillId="0" borderId="0" xfId="7875" applyNumberFormat="1" applyFont="1" applyFill="1" applyBorder="1" applyAlignment="1">
      <alignment horizontal="center" vertical="center" wrapText="1"/>
    </xf>
    <xf numFmtId="169" fontId="30" fillId="0" borderId="0" xfId="7874" applyNumberFormat="1" applyFont="1" applyFill="1" applyBorder="1"/>
    <xf numFmtId="0" fontId="30" fillId="14" borderId="19" xfId="7873" applyFont="1" applyFill="1" applyBorder="1" applyAlignment="1">
      <alignment horizontal="left" vertical="center" indent="1"/>
    </xf>
    <xf numFmtId="14" fontId="30" fillId="14" borderId="19" xfId="7874" applyNumberFormat="1" applyFont="1" applyFill="1" applyBorder="1" applyAlignment="1">
      <alignment horizontal="center"/>
    </xf>
    <xf numFmtId="9" fontId="30" fillId="14" borderId="20" xfId="7875" applyFont="1" applyFill="1" applyBorder="1" applyAlignment="1">
      <alignment horizontal="right"/>
    </xf>
    <xf numFmtId="0" fontId="30" fillId="14" borderId="21" xfId="7875" applyNumberFormat="1" applyFont="1" applyFill="1" applyBorder="1" applyAlignment="1">
      <alignment horizontal="center" vertical="center" wrapText="1"/>
    </xf>
    <xf numFmtId="169" fontId="30" fillId="14" borderId="0" xfId="7874" applyNumberFormat="1" applyFont="1" applyFill="1" applyBorder="1" applyAlignment="1">
      <alignment horizontal="center" vertical="center"/>
    </xf>
    <xf numFmtId="169" fontId="30" fillId="14" borderId="0" xfId="7874" applyNumberFormat="1" applyFont="1" applyFill="1" applyBorder="1" applyAlignment="1">
      <alignment vertical="center"/>
    </xf>
    <xf numFmtId="173" fontId="31" fillId="14" borderId="19" xfId="7873" applyNumberFormat="1" applyFont="1" applyFill="1" applyBorder="1" applyAlignment="1">
      <alignment horizontal="right" vertical="center" wrapText="1"/>
    </xf>
    <xf numFmtId="174" fontId="31" fillId="0" borderId="0" xfId="7873" applyNumberFormat="1" applyFont="1" applyAlignment="1">
      <alignment horizontal="center" vertical="center" wrapText="1"/>
    </xf>
    <xf numFmtId="174" fontId="25" fillId="20" borderId="17" xfId="7873" applyNumberFormat="1" applyFont="1" applyFill="1" applyBorder="1" applyAlignment="1">
      <alignment horizontal="center" vertical="center" wrapText="1"/>
    </xf>
    <xf numFmtId="173" fontId="25" fillId="20" borderId="26" xfId="7873" applyNumberFormat="1" applyFont="1" applyFill="1" applyBorder="1" applyAlignment="1">
      <alignment horizontal="right" vertical="center" wrapText="1"/>
    </xf>
    <xf numFmtId="0" fontId="162"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9" fillId="114" borderId="0" xfId="11" applyNumberFormat="1" applyFont="1" applyFill="1" applyAlignment="1">
      <alignment vertical="center"/>
    </xf>
    <xf numFmtId="170" fontId="29" fillId="114" borderId="0" xfId="11" applyNumberFormat="1" applyFont="1" applyFill="1" applyAlignment="1">
      <alignment horizontal="right" vertical="center"/>
    </xf>
    <xf numFmtId="170" fontId="20" fillId="0" borderId="102"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29" fillId="114" borderId="0" xfId="0" applyNumberFormat="1" applyFont="1" applyFill="1" applyAlignment="1">
      <alignment horizontal="center" vertical="center"/>
    </xf>
    <xf numFmtId="170" fontId="29" fillId="114" borderId="0" xfId="11" applyNumberFormat="1" applyFont="1" applyFill="1" applyAlignment="1">
      <alignment horizontal="right" vertical="center" wrapText="1"/>
    </xf>
    <xf numFmtId="170" fontId="149" fillId="14" borderId="0" xfId="11" applyNumberFormat="1" applyFont="1" applyFill="1" applyAlignment="1">
      <alignment horizontal="center" vertical="center"/>
    </xf>
    <xf numFmtId="170" fontId="149" fillId="115" borderId="0" xfId="11" applyNumberFormat="1" applyFont="1" applyFill="1" applyAlignment="1">
      <alignment horizontal="center" vertical="center"/>
    </xf>
    <xf numFmtId="170" fontId="0" fillId="0" borderId="0" xfId="11" applyNumberFormat="1" applyFont="1" applyAlignment="1">
      <alignment horizontal="center"/>
    </xf>
    <xf numFmtId="170" fontId="149" fillId="14" borderId="0" xfId="11" applyNumberFormat="1" applyFont="1" applyFill="1" applyAlignment="1">
      <alignment vertical="center"/>
    </xf>
    <xf numFmtId="170" fontId="149" fillId="115" borderId="0" xfId="11" applyNumberFormat="1" applyFont="1" applyFill="1" applyAlignment="1">
      <alignment vertical="center"/>
    </xf>
    <xf numFmtId="219" fontId="29" fillId="20" borderId="0" xfId="7868" applyNumberFormat="1" applyFont="1" applyFill="1" applyAlignment="1">
      <alignment horizontal="right" vertical="center"/>
    </xf>
    <xf numFmtId="170" fontId="150" fillId="14" borderId="0" xfId="11" applyNumberFormat="1" applyFont="1" applyFill="1" applyBorder="1" applyAlignment="1">
      <alignment horizontal="center" vertical="center"/>
    </xf>
    <xf numFmtId="170" fontId="150" fillId="14" borderId="0" xfId="11" applyNumberFormat="1" applyFont="1" applyFill="1" applyAlignment="1">
      <alignment horizontal="center" vertical="center"/>
    </xf>
    <xf numFmtId="170" fontId="150" fillId="14" borderId="0" xfId="11" applyNumberFormat="1" applyFont="1" applyFill="1" applyAlignment="1">
      <alignment horizontal="right" vertical="center"/>
    </xf>
    <xf numFmtId="170" fontId="183" fillId="14" borderId="0" xfId="11" applyNumberFormat="1" applyFont="1" applyFill="1" applyBorder="1" applyAlignment="1">
      <alignment horizontal="center" vertical="center"/>
    </xf>
    <xf numFmtId="170" fontId="20" fillId="0" borderId="102" xfId="11" applyNumberFormat="1" applyFont="1" applyFill="1" applyBorder="1" applyAlignment="1">
      <alignment horizontal="right" indent="2"/>
    </xf>
    <xf numFmtId="1" fontId="29" fillId="123" borderId="0" xfId="0" applyNumberFormat="1" applyFont="1" applyFill="1" applyAlignment="1">
      <alignment horizontal="center" vertical="center" wrapText="1"/>
    </xf>
    <xf numFmtId="0" fontId="29" fillId="123" borderId="0" xfId="0" applyFont="1" applyFill="1" applyAlignment="1">
      <alignment horizontal="center" vertical="center" wrapText="1"/>
    </xf>
    <xf numFmtId="170" fontId="29" fillId="123" borderId="0" xfId="11" applyNumberFormat="1" applyFont="1" applyFill="1" applyAlignment="1">
      <alignment horizontal="right" vertical="center" wrapText="1"/>
    </xf>
    <xf numFmtId="0" fontId="195" fillId="0" borderId="0" xfId="2106" applyFont="1"/>
    <xf numFmtId="0" fontId="195" fillId="0" borderId="0" xfId="2106" applyFont="1" applyAlignment="1">
      <alignment horizontal="center"/>
    </xf>
    <xf numFmtId="0" fontId="195" fillId="0" borderId="0" xfId="2106" applyFont="1" applyAlignment="1">
      <alignment horizontal="center" vertical="center"/>
    </xf>
    <xf numFmtId="170" fontId="195" fillId="0" borderId="0" xfId="11" applyNumberFormat="1" applyFont="1" applyAlignment="1">
      <alignment horizontal="right"/>
    </xf>
    <xf numFmtId="170" fontId="0" fillId="0" borderId="0" xfId="0" applyNumberFormat="1"/>
    <xf numFmtId="0" fontId="150" fillId="0" borderId="0" xfId="0" applyFont="1" applyAlignment="1">
      <alignment vertical="center"/>
    </xf>
    <xf numFmtId="0" fontId="150" fillId="0" borderId="0" xfId="0" applyFont="1" applyAlignment="1">
      <alignment horizontal="center" vertical="center"/>
    </xf>
    <xf numFmtId="170" fontId="150" fillId="0" borderId="0" xfId="11" applyNumberFormat="1" applyFont="1" applyAlignment="1">
      <alignment horizontal="right" vertical="center"/>
    </xf>
    <xf numFmtId="170" fontId="20" fillId="0" borderId="102" xfId="7869" applyNumberFormat="1" applyFont="1" applyFill="1" applyBorder="1" applyAlignment="1">
      <alignment horizontal="left" indent="2"/>
    </xf>
    <xf numFmtId="0" fontId="29" fillId="117" borderId="0" xfId="5264" applyFont="1" applyFill="1" applyAlignment="1">
      <alignment vertical="center" wrapText="1"/>
    </xf>
    <xf numFmtId="170" fontId="29" fillId="123" borderId="0" xfId="11" applyNumberFormat="1" applyFont="1" applyFill="1" applyAlignment="1">
      <alignment horizontal="center" vertical="center" wrapText="1"/>
    </xf>
    <xf numFmtId="170" fontId="195" fillId="0" borderId="0" xfId="11" applyNumberFormat="1" applyFont="1" applyAlignment="1">
      <alignment horizontal="center"/>
    </xf>
    <xf numFmtId="219" fontId="29" fillId="14" borderId="0" xfId="7868" applyNumberFormat="1" applyFont="1" applyFill="1" applyAlignment="1">
      <alignment horizontal="right" vertical="center"/>
    </xf>
    <xf numFmtId="170" fontId="29" fillId="20" borderId="0" xfId="5111" applyNumberFormat="1" applyFont="1" applyFill="1" applyAlignment="1">
      <alignment horizontal="right" vertical="center"/>
    </xf>
    <xf numFmtId="1" fontId="29" fillId="123" borderId="0" xfId="0" applyNumberFormat="1" applyFont="1" applyFill="1" applyAlignment="1">
      <alignment horizontal="center" vertical="center"/>
    </xf>
    <xf numFmtId="170" fontId="29" fillId="14" borderId="0" xfId="11" applyNumberFormat="1" applyFont="1" applyFill="1" applyBorder="1" applyAlignment="1">
      <alignment horizontal="center" vertical="center"/>
    </xf>
    <xf numFmtId="170" fontId="150" fillId="0" borderId="0" xfId="11" applyNumberFormat="1" applyFont="1" applyAlignment="1">
      <alignment horizontal="center" vertical="center"/>
    </xf>
    <xf numFmtId="0" fontId="9" fillId="0" borderId="105" xfId="0" applyFont="1" applyBorder="1"/>
    <xf numFmtId="0" fontId="9" fillId="0" borderId="105" xfId="0" applyFont="1" applyBorder="1" applyAlignment="1">
      <alignment horizontal="center"/>
    </xf>
    <xf numFmtId="0" fontId="9" fillId="0" borderId="105" xfId="0" applyFont="1" applyBorder="1" applyAlignment="1">
      <alignment horizontal="center" wrapText="1"/>
    </xf>
    <xf numFmtId="0" fontId="9" fillId="0" borderId="105" xfId="0" applyFont="1" applyBorder="1" applyAlignment="1">
      <alignment horizontal="left"/>
    </xf>
    <xf numFmtId="0" fontId="162" fillId="120" borderId="106" xfId="0" applyFont="1" applyFill="1" applyBorder="1" applyAlignment="1">
      <alignment horizontal="center" vertical="center" wrapText="1"/>
    </xf>
    <xf numFmtId="0" fontId="162" fillId="120" borderId="107" xfId="0" applyFont="1" applyFill="1" applyBorder="1" applyAlignment="1">
      <alignment horizontal="center" vertical="center" wrapText="1"/>
    </xf>
    <xf numFmtId="0" fontId="40" fillId="0" borderId="109" xfId="65" applyFont="1" applyBorder="1" applyAlignment="1">
      <alignment horizontal="left" vertical="center"/>
    </xf>
    <xf numFmtId="0" fontId="197" fillId="0" borderId="109" xfId="0" applyFont="1" applyBorder="1" applyAlignment="1">
      <alignment horizontal="left" vertical="center"/>
    </xf>
    <xf numFmtId="0" fontId="0" fillId="14" borderId="0" xfId="0" applyFill="1" applyAlignment="1">
      <alignment horizontal="center"/>
    </xf>
    <xf numFmtId="0" fontId="166" fillId="125" borderId="0" xfId="5269" applyFont="1" applyFill="1" applyAlignment="1">
      <alignment wrapText="1"/>
    </xf>
    <xf numFmtId="0" fontId="162" fillId="126" borderId="34" xfId="5269" applyFont="1" applyFill="1" applyBorder="1" applyAlignment="1">
      <alignment horizontal="center" vertical="center" wrapText="1"/>
    </xf>
    <xf numFmtId="0" fontId="166" fillId="125" borderId="34" xfId="5269" applyFont="1" applyFill="1" applyBorder="1" applyAlignment="1">
      <alignment horizontal="left" vertical="center"/>
    </xf>
    <xf numFmtId="0" fontId="166" fillId="125" borderId="0" xfId="5269" applyFont="1" applyFill="1" applyAlignment="1">
      <alignment horizontal="left"/>
    </xf>
    <xf numFmtId="3" fontId="166" fillId="0" borderId="34" xfId="5269" applyNumberFormat="1" applyFont="1" applyBorder="1" applyAlignment="1">
      <alignment vertical="center"/>
    </xf>
    <xf numFmtId="0" fontId="162" fillId="121" borderId="0" xfId="0" applyFont="1" applyFill="1"/>
    <xf numFmtId="170" fontId="162" fillId="121" borderId="0" xfId="11" applyNumberFormat="1" applyFont="1" applyFill="1"/>
    <xf numFmtId="0" fontId="186" fillId="0" borderId="112" xfId="0" applyFont="1" applyBorder="1" applyAlignment="1">
      <alignment horizontal="left" vertical="center"/>
    </xf>
    <xf numFmtId="169" fontId="20" fillId="0" borderId="102" xfId="23" applyNumberFormat="1" applyFont="1" applyFill="1" applyBorder="1" applyAlignment="1">
      <alignment horizontal="right" indent="2"/>
    </xf>
    <xf numFmtId="170" fontId="20" fillId="0" borderId="102" xfId="7869" applyNumberFormat="1" applyFont="1" applyFill="1" applyBorder="1" applyAlignment="1">
      <alignment horizontal="right" indent="2"/>
    </xf>
    <xf numFmtId="1" fontId="29" fillId="114" borderId="0" xfId="0" applyNumberFormat="1" applyFont="1" applyFill="1" applyAlignment="1">
      <alignment horizontal="right" vertical="center"/>
    </xf>
    <xf numFmtId="170" fontId="20" fillId="0" borderId="102" xfId="23" applyNumberFormat="1" applyFont="1" applyFill="1" applyBorder="1" applyAlignment="1">
      <alignment horizontal="right" indent="2"/>
    </xf>
    <xf numFmtId="1" fontId="29" fillId="123"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63" fillId="14" borderId="0" xfId="12" applyFont="1" applyFill="1" applyBorder="1" applyAlignment="1">
      <alignment horizontal="left"/>
    </xf>
    <xf numFmtId="169" fontId="163"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166" fillId="125" borderId="34" xfId="11" applyNumberFormat="1" applyFont="1" applyFill="1" applyBorder="1" applyAlignment="1">
      <alignment vertical="center"/>
    </xf>
    <xf numFmtId="170" fontId="166" fillId="125" borderId="0" xfId="11" applyNumberFormat="1" applyFont="1" applyFill="1" applyAlignment="1">
      <alignment vertical="center"/>
    </xf>
    <xf numFmtId="170" fontId="166" fillId="2" borderId="34" xfId="11" applyNumberFormat="1" applyFont="1" applyFill="1" applyBorder="1"/>
    <xf numFmtId="170" fontId="166" fillId="2" borderId="37" xfId="11" applyNumberFormat="1" applyFont="1" applyFill="1" applyBorder="1"/>
    <xf numFmtId="170" fontId="166" fillId="0" borderId="34" xfId="11" applyNumberFormat="1" applyFont="1" applyBorder="1" applyAlignment="1">
      <alignment vertical="center"/>
    </xf>
    <xf numFmtId="170" fontId="166" fillId="0" borderId="34" xfId="11" applyNumberFormat="1" applyFont="1" applyBorder="1"/>
    <xf numFmtId="170" fontId="166" fillId="0" borderId="37" xfId="11" applyNumberFormat="1" applyFont="1" applyBorder="1"/>
    <xf numFmtId="0" fontId="30" fillId="14" borderId="22" xfId="7873" applyFont="1" applyFill="1" applyBorder="1" applyAlignment="1">
      <alignment horizontal="left" vertical="center" indent="1"/>
    </xf>
    <xf numFmtId="0" fontId="30" fillId="0" borderId="22" xfId="7873" applyFont="1" applyBorder="1" applyAlignment="1">
      <alignment horizontal="left" vertical="center" indent="1"/>
    </xf>
    <xf numFmtId="170" fontId="23" fillId="0" borderId="10" xfId="11" applyNumberFormat="1" applyFont="1" applyBorder="1"/>
    <xf numFmtId="0" fontId="166" fillId="5" borderId="0" xfId="0" applyFont="1" applyFill="1" applyAlignment="1">
      <alignment horizontal="right" vertical="center" wrapText="1"/>
    </xf>
    <xf numFmtId="41" fontId="197" fillId="0" borderId="109" xfId="11" applyNumberFormat="1" applyFont="1" applyBorder="1" applyAlignment="1">
      <alignment vertical="center"/>
    </xf>
    <xf numFmtId="41" fontId="198" fillId="0" borderId="109" xfId="11" applyNumberFormat="1" applyFont="1" applyBorder="1" applyAlignment="1">
      <alignment vertical="center"/>
    </xf>
    <xf numFmtId="3" fontId="164" fillId="0" borderId="0" xfId="0" applyNumberFormat="1" applyFont="1" applyAlignment="1">
      <alignment wrapText="1"/>
    </xf>
    <xf numFmtId="3" fontId="190" fillId="0" borderId="0" xfId="0" applyNumberFormat="1" applyFont="1" applyAlignment="1">
      <alignment wrapText="1"/>
    </xf>
    <xf numFmtId="170" fontId="23" fillId="0" borderId="104"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9" fillId="0" borderId="0" xfId="0" applyFont="1" applyAlignment="1">
      <alignment horizontal="center" vertical="center"/>
    </xf>
    <xf numFmtId="0" fontId="191" fillId="0" borderId="0" xfId="0" applyFont="1"/>
    <xf numFmtId="0" fontId="164" fillId="0" borderId="102" xfId="13" applyNumberFormat="1" applyFont="1" applyFill="1" applyBorder="1" applyAlignment="1">
      <alignment horizontal="left"/>
    </xf>
    <xf numFmtId="0" fontId="30" fillId="18" borderId="22" xfId="7873" applyFont="1" applyFill="1" applyBorder="1" applyAlignment="1">
      <alignment horizontal="left" vertical="center" indent="1"/>
    </xf>
    <xf numFmtId="0" fontId="30" fillId="14" borderId="34" xfId="7873" applyFont="1" applyFill="1" applyBorder="1" applyAlignment="1">
      <alignment horizontal="center" vertical="center"/>
    </xf>
    <xf numFmtId="170" fontId="163" fillId="0" borderId="0" xfId="11" applyNumberFormat="1" applyFont="1" applyFill="1" applyBorder="1" applyAlignment="1">
      <alignment horizontal="left"/>
    </xf>
    <xf numFmtId="170" fontId="164" fillId="0" borderId="102" xfId="11" applyNumberFormat="1" applyFont="1" applyFill="1" applyBorder="1" applyAlignment="1">
      <alignment horizontal="left"/>
    </xf>
    <xf numFmtId="170" fontId="17" fillId="0" borderId="0" xfId="11" applyNumberFormat="1" applyFont="1" applyFill="1" applyBorder="1" applyAlignment="1">
      <alignment horizontal="left"/>
    </xf>
    <xf numFmtId="0" fontId="199" fillId="0" borderId="0" xfId="0" applyFont="1"/>
    <xf numFmtId="0" fontId="168" fillId="127" borderId="0" xfId="0" applyFont="1" applyFill="1" applyAlignment="1">
      <alignment horizontal="center" vertical="center" wrapText="1"/>
    </xf>
    <xf numFmtId="0" fontId="168" fillId="4" borderId="96" xfId="0" applyFont="1" applyFill="1" applyBorder="1" applyAlignment="1">
      <alignment vertical="center"/>
    </xf>
    <xf numFmtId="0" fontId="166" fillId="5" borderId="4" xfId="0" applyFont="1" applyFill="1" applyBorder="1" applyAlignment="1">
      <alignment horizontal="right" vertical="center" wrapText="1"/>
    </xf>
    <xf numFmtId="169" fontId="23" fillId="2" borderId="116" xfId="11" applyNumberFormat="1" applyFont="1" applyFill="1" applyBorder="1"/>
    <xf numFmtId="169" fontId="23" fillId="2" borderId="117" xfId="11" applyNumberFormat="1" applyFont="1" applyFill="1" applyBorder="1"/>
    <xf numFmtId="170" fontId="168" fillId="7" borderId="0" xfId="11" applyNumberFormat="1" applyFont="1" applyFill="1" applyBorder="1" applyAlignment="1">
      <alignment horizontal="right" vertical="center" wrapText="1"/>
    </xf>
    <xf numFmtId="169" fontId="23" fillId="2" borderId="0" xfId="11" applyNumberFormat="1" applyFont="1" applyFill="1" applyBorder="1"/>
    <xf numFmtId="170" fontId="169"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8" fillId="2" borderId="0" xfId="0" applyNumberFormat="1" applyFont="1" applyFill="1" applyAlignment="1">
      <alignment horizontal="right" vertical="center" wrapText="1"/>
    </xf>
    <xf numFmtId="170" fontId="199" fillId="0" borderId="0" xfId="0" applyNumberFormat="1" applyFont="1"/>
    <xf numFmtId="0" fontId="168" fillId="4" borderId="0" xfId="0" applyFont="1" applyFill="1" applyAlignment="1">
      <alignment horizontal="right" vertical="center"/>
    </xf>
    <xf numFmtId="0" fontId="23" fillId="5" borderId="0" xfId="0" applyFont="1" applyFill="1" applyAlignment="1">
      <alignment horizontal="right" vertical="center" wrapText="1"/>
    </xf>
    <xf numFmtId="0" fontId="168" fillId="4" borderId="0" xfId="0" applyFont="1" applyFill="1" applyAlignment="1">
      <alignment vertical="center"/>
    </xf>
    <xf numFmtId="0" fontId="168" fillId="2" borderId="0" xfId="0" applyFont="1" applyFill="1" applyAlignment="1">
      <alignment horizontal="right" vertical="center" wrapText="1"/>
    </xf>
    <xf numFmtId="0" fontId="168" fillId="3" borderId="0" xfId="0" applyFont="1" applyFill="1" applyAlignment="1">
      <alignment horizontal="center" vertical="center"/>
    </xf>
    <xf numFmtId="0" fontId="0" fillId="0" borderId="102" xfId="0" applyBorder="1"/>
    <xf numFmtId="0" fontId="185" fillId="0" borderId="0" xfId="0" applyFont="1" applyAlignment="1">
      <alignment horizontal="center" vertical="center"/>
    </xf>
    <xf numFmtId="170" fontId="27" fillId="0" borderId="0" xfId="11" applyNumberFormat="1" applyFont="1"/>
    <xf numFmtId="1" fontId="0" fillId="0" borderId="0" xfId="0" applyNumberFormat="1"/>
    <xf numFmtId="220" fontId="197" fillId="0" borderId="109" xfId="0" applyNumberFormat="1" applyFont="1" applyBorder="1" applyAlignment="1">
      <alignment vertical="center"/>
    </xf>
    <xf numFmtId="0" fontId="0" fillId="0" borderId="0" xfId="0" applyAlignment="1">
      <alignment horizontal="left"/>
    </xf>
    <xf numFmtId="0" fontId="0" fillId="14" borderId="0" xfId="0" applyFill="1" applyAlignment="1">
      <alignment horizontal="left"/>
    </xf>
    <xf numFmtId="0" fontId="200" fillId="0" borderId="0" xfId="3" applyFont="1"/>
    <xf numFmtId="0" fontId="201" fillId="0" borderId="0" xfId="16" applyFont="1"/>
    <xf numFmtId="0" fontId="178" fillId="0" borderId="0" xfId="16" applyFont="1"/>
    <xf numFmtId="0" fontId="162" fillId="9" borderId="0" xfId="0" applyFont="1" applyFill="1" applyAlignment="1">
      <alignment horizontal="left" vertical="center"/>
    </xf>
    <xf numFmtId="0" fontId="162" fillId="0" borderId="0" xfId="0" applyFont="1" applyAlignment="1">
      <alignment horizontal="center" vertical="center"/>
    </xf>
    <xf numFmtId="0" fontId="160" fillId="0" borderId="0" xfId="0" applyFont="1" applyAlignment="1">
      <alignment horizontal="center"/>
    </xf>
    <xf numFmtId="0" fontId="166" fillId="12" borderId="11" xfId="0" applyFont="1" applyFill="1" applyBorder="1" applyAlignment="1">
      <alignment horizontal="left" vertical="center" wrapText="1" indent="1"/>
    </xf>
    <xf numFmtId="3" fontId="162" fillId="9" borderId="0" xfId="0" applyNumberFormat="1" applyFont="1" applyFill="1" applyAlignment="1">
      <alignment horizontal="center" vertical="center"/>
    </xf>
    <xf numFmtId="171" fontId="168" fillId="0" borderId="0" xfId="21" applyNumberFormat="1" applyFont="1" applyFill="1" applyBorder="1" applyAlignment="1">
      <alignment vertical="center"/>
    </xf>
    <xf numFmtId="3" fontId="162" fillId="9" borderId="0" xfId="0" applyNumberFormat="1" applyFont="1" applyFill="1" applyAlignment="1">
      <alignment horizontal="right" vertical="center" indent="2"/>
    </xf>
    <xf numFmtId="0" fontId="24" fillId="14" borderId="0" xfId="7873" applyFont="1" applyFill="1" applyAlignment="1">
      <alignment horizontal="left" vertical="center"/>
    </xf>
    <xf numFmtId="0" fontId="30" fillId="14" borderId="0" xfId="7873" applyFont="1" applyFill="1" applyAlignment="1">
      <alignment horizontal="left"/>
    </xf>
    <xf numFmtId="0" fontId="30" fillId="14" borderId="22" xfId="7873" applyFont="1" applyFill="1" applyBorder="1" applyAlignment="1">
      <alignment horizontal="left" vertical="center"/>
    </xf>
    <xf numFmtId="169" fontId="25" fillId="20" borderId="17" xfId="7874" applyNumberFormat="1" applyFont="1" applyFill="1" applyBorder="1" applyAlignment="1">
      <alignment horizontal="center" vertical="center" wrapText="1"/>
    </xf>
    <xf numFmtId="3" fontId="30" fillId="0" borderId="0" xfId="0" applyNumberFormat="1" applyFont="1" applyAlignment="1">
      <alignment vertical="center"/>
    </xf>
    <xf numFmtId="0" fontId="25" fillId="17" borderId="17" xfId="7873" applyFont="1" applyFill="1" applyBorder="1" applyAlignment="1">
      <alignment horizontal="center" vertical="center" wrapText="1"/>
    </xf>
    <xf numFmtId="9" fontId="30" fillId="0" borderId="20" xfId="7874" applyNumberFormat="1" applyFont="1" applyFill="1" applyBorder="1" applyAlignment="1">
      <alignment horizontal="center"/>
    </xf>
    <xf numFmtId="175" fontId="30" fillId="0" borderId="19" xfId="7873" applyNumberFormat="1" applyFont="1" applyBorder="1" applyAlignment="1">
      <alignment horizontal="center"/>
    </xf>
    <xf numFmtId="3" fontId="25" fillId="17" borderId="17" xfId="7873" applyNumberFormat="1" applyFont="1" applyFill="1" applyBorder="1" applyAlignment="1">
      <alignment horizontal="right" vertical="center" wrapText="1"/>
    </xf>
    <xf numFmtId="14" fontId="30" fillId="18" borderId="118" xfId="7874" applyNumberFormat="1" applyFont="1" applyFill="1" applyBorder="1" applyAlignment="1">
      <alignment horizontal="center"/>
    </xf>
    <xf numFmtId="171" fontId="30" fillId="18" borderId="19" xfId="7874" applyNumberFormat="1" applyFont="1" applyFill="1" applyBorder="1" applyAlignment="1">
      <alignment horizontal="left"/>
    </xf>
    <xf numFmtId="14" fontId="30" fillId="18" borderId="119" xfId="7874" applyNumberFormat="1" applyFont="1" applyFill="1" applyBorder="1" applyAlignment="1">
      <alignment horizontal="center"/>
    </xf>
    <xf numFmtId="0" fontId="9" fillId="0" borderId="0" xfId="0" applyFont="1" applyAlignment="1">
      <alignment horizontal="center" wrapText="1"/>
    </xf>
    <xf numFmtId="0" fontId="196" fillId="14" borderId="0" xfId="0" applyFont="1" applyFill="1" applyAlignment="1">
      <alignment horizontal="left" vertical="center" wrapText="1"/>
    </xf>
    <xf numFmtId="0" fontId="162" fillId="14" borderId="0" xfId="0" applyFont="1" applyFill="1" applyAlignment="1">
      <alignment horizontal="center" vertical="center" wrapText="1"/>
    </xf>
    <xf numFmtId="0" fontId="9" fillId="0" borderId="0" xfId="0" applyFont="1" applyAlignment="1">
      <alignment vertical="center"/>
    </xf>
    <xf numFmtId="0" fontId="24" fillId="0" borderId="105" xfId="0" applyFont="1" applyBorder="1" applyAlignment="1">
      <alignment horizontal="center"/>
    </xf>
    <xf numFmtId="9" fontId="0" fillId="0" borderId="0" xfId="7877" applyFont="1"/>
    <xf numFmtId="49" fontId="9" fillId="0" borderId="105" xfId="0" applyNumberFormat="1" applyFont="1" applyBorder="1" applyAlignment="1">
      <alignment horizontal="center" wrapText="1"/>
    </xf>
    <xf numFmtId="0" fontId="14" fillId="124" borderId="0" xfId="0" applyFont="1" applyFill="1"/>
    <xf numFmtId="0" fontId="0" fillId="0" borderId="120" xfId="0" applyBorder="1"/>
    <xf numFmtId="0" fontId="30" fillId="0" borderId="120" xfId="5320" applyFont="1" applyBorder="1"/>
    <xf numFmtId="1" fontId="0" fillId="0" borderId="120" xfId="0" applyNumberFormat="1" applyBorder="1"/>
    <xf numFmtId="0" fontId="2" fillId="0" borderId="120" xfId="0" applyFont="1" applyBorder="1"/>
    <xf numFmtId="0" fontId="31" fillId="0" borderId="120" xfId="5320" applyFont="1" applyBorder="1"/>
    <xf numFmtId="0" fontId="2" fillId="0" borderId="0" xfId="0" applyFont="1"/>
    <xf numFmtId="0" fontId="36" fillId="124" borderId="0" xfId="0" applyFont="1" applyFill="1"/>
    <xf numFmtId="170" fontId="2" fillId="0" borderId="120" xfId="11" applyNumberFormat="1" applyFont="1" applyBorder="1"/>
    <xf numFmtId="169" fontId="164" fillId="0" borderId="0" xfId="23" applyNumberFormat="1" applyFont="1" applyFill="1" applyBorder="1" applyAlignment="1">
      <alignment horizontal="center"/>
    </xf>
    <xf numFmtId="169" fontId="15" fillId="0" borderId="0" xfId="0" applyNumberFormat="1" applyFont="1"/>
    <xf numFmtId="169" fontId="164" fillId="0" borderId="0" xfId="23" applyNumberFormat="1" applyFont="1" applyFill="1" applyBorder="1" applyAlignment="1">
      <alignment horizontal="left"/>
    </xf>
    <xf numFmtId="0" fontId="203" fillId="0" borderId="0" xfId="0" applyFont="1"/>
    <xf numFmtId="0" fontId="5" fillId="0" borderId="0" xfId="3" applyAlignment="1">
      <alignment horizontal="left" vertical="center" readingOrder="1"/>
    </xf>
    <xf numFmtId="0" fontId="193" fillId="0" borderId="0" xfId="0" applyFont="1" applyAlignment="1">
      <alignment horizontal="center" vertical="center"/>
    </xf>
    <xf numFmtId="169" fontId="18" fillId="0" borderId="0" xfId="12" applyNumberFormat="1" applyFont="1" applyFill="1" applyBorder="1" applyAlignment="1">
      <alignment horizontal="center"/>
    </xf>
    <xf numFmtId="3" fontId="166" fillId="125" borderId="34" xfId="5269" applyNumberFormat="1" applyFont="1" applyFill="1" applyBorder="1" applyAlignment="1">
      <alignment vertical="center"/>
    </xf>
    <xf numFmtId="0" fontId="166" fillId="125" borderId="0" xfId="5269" applyFont="1" applyFill="1" applyAlignment="1">
      <alignment vertical="center"/>
    </xf>
    <xf numFmtId="0" fontId="166" fillId="2" borderId="34" xfId="0" applyFont="1" applyFill="1" applyBorder="1"/>
    <xf numFmtId="0" fontId="166" fillId="2" borderId="37" xfId="0" applyFont="1" applyFill="1" applyBorder="1"/>
    <xf numFmtId="0" fontId="166" fillId="0" borderId="34" xfId="0" applyFont="1" applyBorder="1"/>
    <xf numFmtId="0" fontId="166" fillId="0" borderId="37" xfId="0" applyFont="1" applyBorder="1"/>
    <xf numFmtId="169" fontId="23" fillId="2" borderId="7" xfId="11" applyNumberFormat="1" applyFont="1" applyFill="1" applyBorder="1"/>
    <xf numFmtId="172" fontId="15" fillId="0" borderId="0" xfId="11" applyNumberFormat="1" applyFont="1" applyFill="1" applyBorder="1"/>
    <xf numFmtId="0" fontId="42" fillId="128" borderId="108" xfId="65" applyFont="1" applyFill="1" applyBorder="1" applyAlignment="1">
      <alignment horizontal="center" wrapText="1"/>
    </xf>
    <xf numFmtId="220" fontId="197" fillId="0" borderId="109" xfId="0" applyNumberFormat="1" applyFont="1" applyBorder="1" applyAlignment="1">
      <alignment horizontal="center" vertical="center"/>
    </xf>
    <xf numFmtId="0" fontId="40" fillId="0" borderId="109" xfId="65" applyFont="1" applyBorder="1" applyAlignment="1">
      <alignment horizontal="center" vertical="center"/>
    </xf>
    <xf numFmtId="0" fontId="197" fillId="0" borderId="109" xfId="0" applyFont="1" applyBorder="1" applyAlignment="1">
      <alignment horizontal="center" vertical="center"/>
    </xf>
    <xf numFmtId="0" fontId="40" fillId="0" borderId="108" xfId="65" applyFont="1" applyBorder="1" applyAlignment="1">
      <alignment horizontal="center" vertical="center"/>
    </xf>
    <xf numFmtId="38" fontId="172" fillId="0" borderId="0" xfId="0" applyNumberFormat="1" applyFont="1" applyAlignment="1">
      <alignment horizontal="center" vertical="center"/>
    </xf>
    <xf numFmtId="0" fontId="161" fillId="117" borderId="103" xfId="0" applyFont="1" applyFill="1" applyBorder="1" applyAlignment="1">
      <alignment horizontal="center" vertical="center" wrapText="1"/>
    </xf>
    <xf numFmtId="169" fontId="163" fillId="14" borderId="0" xfId="13" applyNumberFormat="1" applyFont="1" applyFill="1" applyBorder="1" applyAlignment="1">
      <alignment horizontal="center"/>
    </xf>
    <xf numFmtId="0" fontId="25" fillId="117" borderId="0" xfId="0" applyFont="1" applyFill="1" applyAlignment="1">
      <alignment horizontal="right" vertical="center" wrapText="1" indent="1"/>
    </xf>
    <xf numFmtId="0" fontId="25" fillId="20" borderId="17" xfId="7873" applyFont="1" applyFill="1" applyBorder="1" applyAlignment="1">
      <alignment horizontal="center" vertical="center" wrapText="1"/>
    </xf>
    <xf numFmtId="0" fontId="31" fillId="14" borderId="0" xfId="7873" applyFont="1" applyFill="1" applyAlignment="1">
      <alignment horizontal="center" vertical="center"/>
    </xf>
    <xf numFmtId="9" fontId="0" fillId="0" borderId="120" xfId="7877" applyFont="1" applyBorder="1"/>
    <xf numFmtId="3" fontId="162" fillId="9" borderId="0" xfId="0" applyNumberFormat="1" applyFont="1" applyFill="1" applyAlignment="1">
      <alignment horizontal="right" vertical="center"/>
    </xf>
    <xf numFmtId="0" fontId="162" fillId="124" borderId="0" xfId="0" applyFont="1" applyFill="1" applyAlignment="1">
      <alignment horizontal="center" vertical="center"/>
    </xf>
    <xf numFmtId="0" fontId="162" fillId="124" borderId="0" xfId="0" applyFont="1" applyFill="1" applyAlignment="1">
      <alignment horizontal="center" vertical="center" wrapText="1"/>
    </xf>
    <xf numFmtId="169" fontId="19" fillId="14" borderId="0" xfId="13" applyNumberFormat="1" applyFont="1" applyFill="1" applyAlignment="1">
      <alignment horizontal="center"/>
    </xf>
    <xf numFmtId="0" fontId="162" fillId="117" borderId="103" xfId="0" applyFont="1" applyFill="1" applyBorder="1" applyAlignment="1">
      <alignment horizontal="left" vertical="center" wrapText="1"/>
    </xf>
    <xf numFmtId="0" fontId="25" fillId="117" borderId="103" xfId="0" applyFont="1" applyFill="1" applyBorder="1" applyAlignment="1">
      <alignment horizontal="left" vertical="center" wrapText="1"/>
    </xf>
    <xf numFmtId="0" fontId="25" fillId="117" borderId="103" xfId="0" applyFont="1" applyFill="1" applyBorder="1" applyAlignment="1">
      <alignment horizontal="right" vertical="center" wrapText="1" indent="1"/>
    </xf>
    <xf numFmtId="0" fontId="19" fillId="0" borderId="103" xfId="12" applyFont="1" applyFill="1" applyBorder="1" applyAlignment="1">
      <alignment horizontal="left"/>
    </xf>
    <xf numFmtId="169" fontId="19" fillId="0" borderId="103" xfId="13" applyNumberFormat="1" applyFont="1" applyFill="1" applyBorder="1" applyAlignment="1">
      <alignment horizontal="center"/>
    </xf>
    <xf numFmtId="38" fontId="171" fillId="0" borderId="102" xfId="0" applyNumberFormat="1" applyFont="1" applyBorder="1" applyAlignment="1">
      <alignment horizontal="center" vertical="center"/>
    </xf>
    <xf numFmtId="170" fontId="204" fillId="0" borderId="0" xfId="11" applyNumberFormat="1" applyFont="1" applyAlignment="1">
      <alignment horizontal="right"/>
    </xf>
    <xf numFmtId="173" fontId="31" fillId="19" borderId="24" xfId="7873" applyNumberFormat="1" applyFont="1" applyFill="1" applyBorder="1" applyAlignment="1">
      <alignment horizontal="right" vertical="center" wrapText="1"/>
    </xf>
    <xf numFmtId="0" fontId="30" fillId="14" borderId="34" xfId="7873" applyFont="1" applyFill="1" applyBorder="1" applyAlignment="1">
      <alignment horizontal="left" vertical="center"/>
    </xf>
    <xf numFmtId="14" fontId="30" fillId="18" borderId="34" xfId="7874" applyNumberFormat="1" applyFont="1" applyFill="1" applyBorder="1" applyAlignment="1">
      <alignment horizontal="center"/>
    </xf>
    <xf numFmtId="169" fontId="30" fillId="0" borderId="34" xfId="7874" applyNumberFormat="1" applyFont="1" applyFill="1" applyBorder="1"/>
    <xf numFmtId="173" fontId="30" fillId="14" borderId="34" xfId="7874" applyNumberFormat="1" applyFont="1" applyFill="1" applyBorder="1"/>
    <xf numFmtId="169" fontId="30" fillId="14" borderId="34" xfId="7874" applyNumberFormat="1" applyFont="1" applyFill="1" applyBorder="1"/>
    <xf numFmtId="1" fontId="30" fillId="14" borderId="115" xfId="7873" applyNumberFormat="1" applyFont="1" applyFill="1" applyBorder="1" applyAlignment="1">
      <alignment horizontal="center"/>
    </xf>
    <xf numFmtId="9" fontId="30" fillId="18" borderId="115" xfId="7875" applyFont="1" applyFill="1" applyBorder="1" applyAlignment="1">
      <alignment horizontal="right"/>
    </xf>
    <xf numFmtId="9" fontId="30" fillId="18" borderId="102" xfId="7875" applyFont="1" applyFill="1" applyBorder="1" applyAlignment="1">
      <alignment horizontal="right"/>
    </xf>
    <xf numFmtId="0" fontId="30" fillId="14" borderId="0" xfId="17" applyFont="1" applyFill="1"/>
    <xf numFmtId="0" fontId="160" fillId="14" borderId="0" xfId="0" applyFont="1" applyFill="1" applyAlignment="1">
      <alignment wrapText="1"/>
    </xf>
    <xf numFmtId="0" fontId="160" fillId="0" borderId="0" xfId="0" applyFont="1" applyAlignment="1">
      <alignment wrapText="1"/>
    </xf>
    <xf numFmtId="0" fontId="42" fillId="128" borderId="108" xfId="65" applyFont="1" applyFill="1" applyBorder="1" applyAlignment="1">
      <alignment horizontal="center" vertical="center" wrapText="1"/>
    </xf>
    <xf numFmtId="0" fontId="14" fillId="14" borderId="0" xfId="0" applyFont="1" applyFill="1"/>
    <xf numFmtId="1" fontId="0" fillId="14" borderId="120" xfId="0" applyNumberFormat="1" applyFill="1" applyBorder="1"/>
    <xf numFmtId="169" fontId="19" fillId="14" borderId="103" xfId="13" applyNumberFormat="1" applyFont="1" applyFill="1" applyBorder="1" applyAlignment="1">
      <alignment horizontal="center"/>
    </xf>
    <xf numFmtId="169" fontId="20" fillId="0" borderId="0" xfId="23" applyNumberFormat="1" applyFont="1" applyFill="1" applyBorder="1" applyAlignment="1">
      <alignment horizontal="right" indent="2"/>
    </xf>
    <xf numFmtId="170" fontId="0" fillId="14" borderId="0" xfId="0" applyNumberFormat="1" applyFill="1"/>
    <xf numFmtId="169" fontId="0" fillId="14" borderId="0" xfId="0" applyNumberFormat="1" applyFill="1"/>
    <xf numFmtId="10" fontId="197" fillId="14" borderId="109" xfId="0" applyNumberFormat="1" applyFont="1" applyFill="1" applyBorder="1" applyAlignment="1">
      <alignment vertical="center"/>
    </xf>
    <xf numFmtId="10" fontId="40" fillId="14" borderId="109" xfId="7877" applyNumberFormat="1" applyFont="1" applyFill="1" applyBorder="1" applyAlignment="1">
      <alignment horizontal="right" vertical="center"/>
    </xf>
    <xf numFmtId="10" fontId="197" fillId="14" borderId="109" xfId="0" applyNumberFormat="1" applyFont="1" applyFill="1" applyBorder="1" applyAlignment="1">
      <alignment horizontal="right" vertical="center"/>
    </xf>
    <xf numFmtId="9" fontId="30" fillId="18" borderId="20" xfId="7875" applyFont="1" applyFill="1" applyBorder="1" applyAlignment="1">
      <alignment horizontal="center"/>
    </xf>
    <xf numFmtId="0" fontId="30" fillId="14" borderId="0" xfId="7873" applyFont="1" applyFill="1" applyAlignment="1">
      <alignment vertical="center"/>
    </xf>
    <xf numFmtId="0" fontId="29" fillId="9" borderId="13" xfId="17" applyFont="1" applyFill="1" applyBorder="1" applyAlignment="1">
      <alignment horizontal="center" vertical="center" wrapText="1"/>
    </xf>
    <xf numFmtId="0" fontId="29" fillId="9" borderId="14" xfId="17" applyFont="1" applyFill="1" applyBorder="1" applyAlignment="1">
      <alignment horizontal="center" vertical="center" wrapText="1"/>
    </xf>
    <xf numFmtId="0" fontId="29" fillId="9" borderId="15" xfId="17" applyFont="1" applyFill="1" applyBorder="1" applyAlignment="1">
      <alignment horizontal="center" vertical="center" wrapText="1"/>
    </xf>
    <xf numFmtId="0" fontId="29" fillId="9" borderId="16" xfId="17" applyFont="1" applyFill="1" applyBorder="1" applyAlignment="1">
      <alignment horizontal="center" vertical="center" wrapText="1"/>
    </xf>
    <xf numFmtId="0" fontId="29" fillId="9" borderId="103" xfId="17" applyFont="1" applyFill="1" applyBorder="1" applyAlignment="1">
      <alignment horizontal="center" vertical="center" wrapText="1"/>
    </xf>
    <xf numFmtId="10" fontId="4" fillId="0" borderId="0" xfId="7877" applyNumberFormat="1" applyFont="1" applyAlignment="1">
      <alignment horizontal="center"/>
    </xf>
    <xf numFmtId="10" fontId="31" fillId="14" borderId="0" xfId="7877" applyNumberFormat="1" applyFont="1" applyFill="1" applyAlignment="1">
      <alignment horizontal="center" vertical="center" wrapText="1"/>
    </xf>
    <xf numFmtId="10" fontId="25" fillId="17" borderId="17" xfId="7877" applyNumberFormat="1" applyFont="1" applyFill="1" applyBorder="1" applyAlignment="1">
      <alignment horizontal="center" vertical="center" wrapText="1"/>
    </xf>
    <xf numFmtId="10" fontId="30" fillId="14" borderId="22" xfId="7877" applyNumberFormat="1" applyFont="1" applyFill="1" applyBorder="1" applyAlignment="1">
      <alignment horizontal="center"/>
    </xf>
    <xf numFmtId="10" fontId="30" fillId="14" borderId="0" xfId="7877" applyNumberFormat="1" applyFont="1" applyFill="1" applyAlignment="1">
      <alignment horizontal="center"/>
    </xf>
    <xf numFmtId="10" fontId="30" fillId="18" borderId="22" xfId="7877" applyNumberFormat="1" applyFont="1" applyFill="1" applyBorder="1" applyAlignment="1">
      <alignment horizontal="center"/>
    </xf>
    <xf numFmtId="10" fontId="30" fillId="18" borderId="0" xfId="7877" applyNumberFormat="1" applyFont="1" applyFill="1" applyBorder="1" applyAlignment="1">
      <alignment horizontal="center"/>
    </xf>
    <xf numFmtId="10" fontId="30" fillId="0" borderId="22" xfId="7877" applyNumberFormat="1" applyFont="1" applyFill="1" applyBorder="1" applyAlignment="1">
      <alignment horizontal="center"/>
    </xf>
    <xf numFmtId="10" fontId="30" fillId="18" borderId="0" xfId="7877" applyNumberFormat="1" applyFont="1" applyFill="1" applyBorder="1" applyAlignment="1">
      <alignment horizontal="center" vertical="center" wrapText="1"/>
    </xf>
    <xf numFmtId="10" fontId="0" fillId="0" borderId="0" xfId="7877" applyNumberFormat="1" applyFont="1" applyAlignment="1">
      <alignment horizontal="center"/>
    </xf>
    <xf numFmtId="10" fontId="30" fillId="0" borderId="0" xfId="7877" applyNumberFormat="1" applyFont="1" applyFill="1" applyBorder="1" applyAlignment="1">
      <alignment horizontal="center"/>
    </xf>
    <xf numFmtId="10" fontId="25" fillId="20" borderId="17" xfId="7877" applyNumberFormat="1" applyFont="1" applyFill="1" applyBorder="1" applyAlignment="1">
      <alignment horizontal="center" vertical="center" wrapText="1"/>
    </xf>
    <xf numFmtId="0" fontId="4" fillId="0" borderId="0" xfId="22" applyAlignment="1">
      <alignment horizontal="right"/>
    </xf>
    <xf numFmtId="0" fontId="31" fillId="14" borderId="0" xfId="7873" applyFont="1" applyFill="1" applyAlignment="1">
      <alignment horizontal="right" vertical="center"/>
    </xf>
    <xf numFmtId="0" fontId="25" fillId="17" borderId="17" xfId="7873" applyFont="1" applyFill="1" applyBorder="1" applyAlignment="1">
      <alignment horizontal="right" vertical="center" wrapText="1"/>
    </xf>
    <xf numFmtId="0" fontId="31" fillId="14" borderId="0" xfId="7873" applyFont="1" applyFill="1" applyAlignment="1">
      <alignment horizontal="right" vertical="center" wrapText="1"/>
    </xf>
    <xf numFmtId="14" fontId="30" fillId="18" borderId="19" xfId="7874" applyNumberFormat="1" applyFont="1" applyFill="1" applyBorder="1" applyAlignment="1">
      <alignment horizontal="right"/>
    </xf>
    <xf numFmtId="0" fontId="30" fillId="14" borderId="25" xfId="7873" applyFont="1" applyFill="1" applyBorder="1" applyAlignment="1">
      <alignment horizontal="right"/>
    </xf>
    <xf numFmtId="14" fontId="30" fillId="0" borderId="0" xfId="7874" applyNumberFormat="1" applyFont="1" applyFill="1" applyBorder="1" applyAlignment="1">
      <alignment horizontal="right"/>
    </xf>
    <xf numFmtId="14" fontId="30" fillId="0" borderId="19" xfId="7874" applyNumberFormat="1" applyFont="1" applyFill="1" applyBorder="1" applyAlignment="1">
      <alignment horizontal="right"/>
    </xf>
    <xf numFmtId="14" fontId="30" fillId="18" borderId="0" xfId="7874" applyNumberFormat="1" applyFont="1" applyFill="1" applyBorder="1" applyAlignment="1">
      <alignment horizontal="right"/>
    </xf>
    <xf numFmtId="14" fontId="30" fillId="18" borderId="34" xfId="7874" applyNumberFormat="1" applyFont="1" applyFill="1" applyBorder="1" applyAlignment="1">
      <alignment horizontal="right"/>
    </xf>
    <xf numFmtId="0" fontId="10" fillId="129" borderId="19" xfId="7873" applyFont="1" applyFill="1" applyBorder="1" applyAlignment="1">
      <alignment horizontal="left" vertical="center" indent="1"/>
    </xf>
    <xf numFmtId="171" fontId="10" fillId="129" borderId="19" xfId="7874" applyNumberFormat="1" applyFont="1" applyFill="1" applyBorder="1" applyAlignment="1">
      <alignment horizontal="center"/>
    </xf>
    <xf numFmtId="14" fontId="10" fillId="129" borderId="19" xfId="7874" applyNumberFormat="1" applyFont="1" applyFill="1" applyBorder="1" applyAlignment="1">
      <alignment horizontal="center"/>
    </xf>
    <xf numFmtId="1" fontId="10" fillId="2" borderId="19" xfId="7873" applyNumberFormat="1" applyFont="1" applyFill="1" applyBorder="1" applyAlignment="1">
      <alignment horizontal="center"/>
    </xf>
    <xf numFmtId="9" fontId="10" fillId="129" borderId="20" xfId="7875" applyFont="1" applyFill="1" applyBorder="1" applyAlignment="1">
      <alignment horizontal="right"/>
    </xf>
    <xf numFmtId="0" fontId="208" fillId="0" borderId="0" xfId="0" applyFont="1"/>
    <xf numFmtId="169" fontId="10" fillId="0" borderId="19" xfId="7874" applyNumberFormat="1" applyFont="1" applyFill="1" applyBorder="1"/>
    <xf numFmtId="173" fontId="10" fillId="2" borderId="22" xfId="7874" applyNumberFormat="1" applyFont="1" applyFill="1" applyBorder="1"/>
    <xf numFmtId="169" fontId="10" fillId="2" borderId="19" xfId="7874" applyNumberFormat="1" applyFont="1" applyFill="1" applyBorder="1"/>
    <xf numFmtId="0" fontId="32" fillId="2" borderId="0" xfId="7873" applyFont="1" applyFill="1" applyAlignment="1">
      <alignment horizontal="center"/>
    </xf>
    <xf numFmtId="0" fontId="10" fillId="2" borderId="19" xfId="7873" applyFont="1" applyFill="1" applyBorder="1" applyAlignment="1">
      <alignment horizontal="left" vertical="center"/>
    </xf>
    <xf numFmtId="0" fontId="10" fillId="2" borderId="19" xfId="7873" applyFont="1" applyFill="1" applyBorder="1" applyAlignment="1">
      <alignment horizontal="center" vertical="center"/>
    </xf>
    <xf numFmtId="9" fontId="10" fillId="129" borderId="21" xfId="7875" applyFont="1" applyFill="1" applyBorder="1" applyAlignment="1">
      <alignment horizontal="right"/>
    </xf>
    <xf numFmtId="0" fontId="4" fillId="0" borderId="0" xfId="22" applyAlignment="1">
      <alignment horizontal="center"/>
    </xf>
    <xf numFmtId="176" fontId="30" fillId="18" borderId="22" xfId="7875" applyNumberFormat="1" applyFont="1" applyFill="1" applyBorder="1" applyAlignment="1">
      <alignment horizontal="center"/>
    </xf>
    <xf numFmtId="176" fontId="30" fillId="14" borderId="25" xfId="7873" applyNumberFormat="1" applyFont="1" applyFill="1" applyBorder="1" applyAlignment="1">
      <alignment horizontal="center"/>
    </xf>
    <xf numFmtId="176" fontId="0" fillId="0" borderId="0" xfId="0" applyNumberFormat="1" applyAlignment="1">
      <alignment horizontal="center"/>
    </xf>
    <xf numFmtId="176" fontId="30" fillId="18" borderId="0" xfId="7875" applyNumberFormat="1" applyFont="1" applyFill="1" applyBorder="1" applyAlignment="1">
      <alignment horizontal="center"/>
    </xf>
    <xf numFmtId="176" fontId="30" fillId="14" borderId="0" xfId="7873" applyNumberFormat="1" applyFont="1" applyFill="1" applyAlignment="1">
      <alignment horizontal="center"/>
    </xf>
    <xf numFmtId="176" fontId="25" fillId="17" borderId="17" xfId="7873" applyNumberFormat="1" applyFont="1" applyFill="1" applyBorder="1" applyAlignment="1">
      <alignment horizontal="center" vertical="center" wrapText="1"/>
    </xf>
    <xf numFmtId="176" fontId="31" fillId="14" borderId="0" xfId="7873" applyNumberFormat="1" applyFont="1" applyFill="1" applyAlignment="1">
      <alignment horizontal="center" vertical="center" wrapText="1"/>
    </xf>
    <xf numFmtId="176" fontId="30" fillId="0" borderId="22" xfId="7875" applyNumberFormat="1" applyFont="1" applyFill="1" applyBorder="1" applyAlignment="1">
      <alignment horizontal="center"/>
    </xf>
    <xf numFmtId="176" fontId="10" fillId="129" borderId="22" xfId="7875" applyNumberFormat="1" applyFont="1" applyFill="1" applyBorder="1" applyAlignment="1">
      <alignment horizontal="center"/>
    </xf>
    <xf numFmtId="176" fontId="30" fillId="18" borderId="0" xfId="7874" applyNumberFormat="1" applyFont="1" applyFill="1" applyBorder="1" applyAlignment="1">
      <alignment horizontal="center"/>
    </xf>
    <xf numFmtId="176" fontId="30" fillId="18" borderId="35" xfId="7875" applyNumberFormat="1" applyFont="1" applyFill="1" applyBorder="1" applyAlignment="1">
      <alignment horizontal="center"/>
    </xf>
    <xf numFmtId="1" fontId="205" fillId="130" borderId="0" xfId="5349" applyNumberFormat="1" applyFont="1" applyFill="1" applyAlignment="1">
      <alignment horizontal="center" vertical="center"/>
    </xf>
    <xf numFmtId="1" fontId="205" fillId="130" borderId="0" xfId="7880" applyNumberFormat="1" applyFont="1" applyFill="1" applyAlignment="1">
      <alignment horizontal="center" vertical="center"/>
    </xf>
    <xf numFmtId="1" fontId="166" fillId="0" borderId="34" xfId="0" applyNumberFormat="1" applyFont="1" applyBorder="1"/>
    <xf numFmtId="0" fontId="170" fillId="131" borderId="0" xfId="0" applyFont="1" applyFill="1" applyAlignment="1">
      <alignment horizontal="center" vertical="center" wrapText="1"/>
    </xf>
    <xf numFmtId="169" fontId="170" fillId="132" borderId="102" xfId="13" applyNumberFormat="1" applyFont="1" applyFill="1" applyBorder="1" applyAlignment="1">
      <alignment horizontal="center"/>
    </xf>
    <xf numFmtId="0" fontId="170" fillId="131" borderId="103" xfId="0" applyFont="1" applyFill="1" applyBorder="1" applyAlignment="1">
      <alignment horizontal="center" vertical="center" wrapText="1"/>
    </xf>
    <xf numFmtId="169" fontId="163" fillId="2" borderId="0" xfId="13" applyNumberFormat="1" applyFont="1" applyFill="1" applyBorder="1" applyAlignment="1">
      <alignment horizontal="center"/>
    </xf>
    <xf numFmtId="0" fontId="9" fillId="14" borderId="105" xfId="0" applyFont="1" applyFill="1" applyBorder="1" applyAlignment="1">
      <alignment vertical="center"/>
    </xf>
    <xf numFmtId="0" fontId="162" fillId="120" borderId="123" xfId="0" applyFont="1" applyFill="1" applyBorder="1" applyAlignment="1">
      <alignment horizontal="center" vertical="center" wrapText="1"/>
    </xf>
    <xf numFmtId="0" fontId="162" fillId="120" borderId="124" xfId="0" applyFont="1" applyFill="1" applyBorder="1" applyAlignment="1">
      <alignment horizontal="center" vertical="center" wrapText="1"/>
    </xf>
    <xf numFmtId="0" fontId="9" fillId="0" borderId="34" xfId="0" applyFont="1" applyBorder="1" applyAlignment="1">
      <alignment vertical="center"/>
    </xf>
    <xf numFmtId="0" fontId="9" fillId="0" borderId="34" xfId="0" applyFont="1" applyBorder="1" applyAlignment="1">
      <alignment horizontal="center" vertical="center"/>
    </xf>
    <xf numFmtId="49" fontId="9" fillId="0" borderId="105" xfId="0" applyNumberFormat="1" applyFont="1" applyBorder="1" applyAlignment="1">
      <alignment horizontal="center" vertical="center" wrapText="1"/>
    </xf>
    <xf numFmtId="0" fontId="9" fillId="0" borderId="34" xfId="0" applyFont="1" applyBorder="1" applyAlignment="1">
      <alignment horizontal="center" vertical="center" wrapText="1"/>
    </xf>
    <xf numFmtId="169" fontId="163" fillId="14" borderId="0" xfId="13" applyNumberFormat="1" applyFont="1" applyFill="1" applyAlignment="1">
      <alignment horizontal="center"/>
    </xf>
    <xf numFmtId="3" fontId="164" fillId="14" borderId="102" xfId="0" applyNumberFormat="1" applyFont="1" applyFill="1" applyBorder="1" applyAlignment="1">
      <alignment wrapText="1"/>
    </xf>
    <xf numFmtId="3" fontId="0" fillId="0" borderId="0" xfId="0" applyNumberFormat="1"/>
    <xf numFmtId="3" fontId="163" fillId="14" borderId="0" xfId="0" applyNumberFormat="1" applyFont="1" applyFill="1" applyAlignment="1">
      <alignment wrapText="1"/>
    </xf>
    <xf numFmtId="170" fontId="23" fillId="14" borderId="7" xfId="11" applyNumberFormat="1" applyFont="1" applyFill="1" applyBorder="1" applyAlignment="1">
      <alignment horizontal="right" wrapText="1"/>
    </xf>
    <xf numFmtId="0" fontId="23" fillId="6" borderId="0" xfId="0" applyFont="1" applyFill="1" applyAlignment="1">
      <alignment horizontal="left" vertical="center" wrapText="1" indent="1"/>
    </xf>
    <xf numFmtId="3" fontId="168" fillId="7" borderId="5" xfId="0" applyNumberFormat="1" applyFont="1" applyFill="1" applyBorder="1" applyAlignment="1">
      <alignment horizontal="right" vertical="center" wrapText="1"/>
    </xf>
    <xf numFmtId="170" fontId="23" fillId="0" borderId="104" xfId="11" applyNumberFormat="1" applyFont="1" applyFill="1" applyBorder="1" applyAlignment="1">
      <alignment horizontal="right" wrapText="1"/>
    </xf>
    <xf numFmtId="170" fontId="169" fillId="5" borderId="3" xfId="0" applyNumberFormat="1" applyFont="1" applyFill="1" applyBorder="1" applyAlignment="1">
      <alignment vertical="center" wrapText="1"/>
    </xf>
    <xf numFmtId="170" fontId="168" fillId="7" borderId="4" xfId="0" applyNumberFormat="1" applyFont="1" applyFill="1" applyBorder="1" applyAlignment="1">
      <alignment vertical="center"/>
    </xf>
    <xf numFmtId="170" fontId="207" fillId="134" borderId="0" xfId="11" applyNumberFormat="1" applyFont="1" applyFill="1" applyBorder="1" applyAlignment="1">
      <alignment horizontal="right" vertical="center"/>
    </xf>
    <xf numFmtId="0" fontId="10" fillId="133" borderId="22" xfId="7873" applyFont="1" applyFill="1" applyBorder="1" applyAlignment="1">
      <alignment horizontal="left" vertical="center"/>
    </xf>
    <xf numFmtId="0" fontId="10" fillId="14" borderId="22" xfId="7873" applyFont="1" applyFill="1" applyBorder="1" applyAlignment="1">
      <alignment horizontal="left" vertical="center"/>
    </xf>
    <xf numFmtId="0" fontId="10" fillId="133" borderId="19" xfId="7873" applyFont="1" applyFill="1" applyBorder="1" applyAlignment="1">
      <alignment horizontal="left" vertical="center"/>
    </xf>
    <xf numFmtId="0" fontId="29" fillId="9" borderId="13" xfId="7873" applyFont="1" applyFill="1" applyBorder="1" applyAlignment="1">
      <alignment vertical="center"/>
    </xf>
    <xf numFmtId="0" fontId="29" fillId="9" borderId="103" xfId="7873" applyFont="1" applyFill="1" applyBorder="1" applyAlignment="1">
      <alignment vertical="center"/>
    </xf>
    <xf numFmtId="0" fontId="29" fillId="9" borderId="14" xfId="7873" applyFont="1" applyFill="1" applyBorder="1" applyAlignment="1">
      <alignment vertical="center"/>
    </xf>
    <xf numFmtId="0" fontId="29" fillId="9" borderId="15" xfId="7873" applyFont="1" applyFill="1" applyBorder="1" applyAlignment="1">
      <alignment vertical="center"/>
    </xf>
    <xf numFmtId="0" fontId="29" fillId="9" borderId="16" xfId="7873" applyFont="1" applyFill="1" applyBorder="1" applyAlignment="1">
      <alignment vertical="center"/>
    </xf>
    <xf numFmtId="0" fontId="29" fillId="9" borderId="103" xfId="7873" applyFont="1" applyFill="1" applyBorder="1" applyAlignment="1">
      <alignment vertical="center" wrapText="1"/>
    </xf>
    <xf numFmtId="0" fontId="29" fillId="9" borderId="98" xfId="7873" applyFont="1" applyFill="1" applyBorder="1" applyAlignment="1">
      <alignment vertical="center"/>
    </xf>
    <xf numFmtId="0" fontId="32" fillId="14" borderId="0" xfId="7873" applyFont="1" applyFill="1"/>
    <xf numFmtId="0" fontId="30" fillId="14" borderId="34" xfId="7873" applyFont="1" applyFill="1" applyBorder="1" applyAlignment="1">
      <alignment horizontal="center" vertical="center" wrapText="1"/>
    </xf>
    <xf numFmtId="0" fontId="30" fillId="14" borderId="115" xfId="7873" applyFont="1" applyFill="1" applyBorder="1" applyAlignment="1">
      <alignment horizontal="center" vertical="center" wrapText="1"/>
    </xf>
    <xf numFmtId="0" fontId="30" fillId="14" borderId="102" xfId="7873" applyFont="1" applyFill="1" applyBorder="1" applyAlignment="1">
      <alignment horizontal="center" vertical="center" wrapText="1"/>
    </xf>
    <xf numFmtId="10" fontId="30" fillId="14" borderId="35" xfId="7877" applyNumberFormat="1" applyFont="1" applyFill="1" applyBorder="1" applyAlignment="1">
      <alignment horizontal="center" vertical="center" wrapText="1"/>
    </xf>
    <xf numFmtId="173" fontId="30" fillId="14" borderId="34" xfId="7873" applyNumberFormat="1" applyFont="1" applyFill="1" applyBorder="1" applyAlignment="1">
      <alignment horizontal="right" vertical="center" wrapText="1"/>
    </xf>
    <xf numFmtId="0" fontId="209" fillId="0" borderId="126" xfId="0" applyFont="1" applyBorder="1" applyAlignment="1">
      <alignment vertical="center"/>
    </xf>
    <xf numFmtId="0" fontId="209" fillId="0" borderId="0" xfId="0" applyFont="1" applyAlignment="1">
      <alignment horizontal="center" vertical="center"/>
    </xf>
    <xf numFmtId="0" fontId="209" fillId="0" borderId="125" xfId="0" applyFont="1" applyBorder="1" applyAlignment="1">
      <alignment vertical="center"/>
    </xf>
    <xf numFmtId="0" fontId="9" fillId="0" borderId="0" xfId="0" applyFont="1" applyAlignment="1">
      <alignment vertical="top"/>
    </xf>
    <xf numFmtId="0" fontId="9" fillId="0" borderId="125" xfId="0" applyFont="1" applyBorder="1" applyAlignment="1">
      <alignment vertical="top"/>
    </xf>
    <xf numFmtId="0" fontId="29" fillId="120" borderId="100" xfId="0" applyFont="1" applyFill="1" applyBorder="1" applyAlignment="1">
      <alignment horizontal="left" vertical="center" wrapText="1"/>
    </xf>
    <xf numFmtId="0" fontId="209" fillId="0" borderId="125" xfId="0" applyFont="1" applyBorder="1" applyAlignment="1">
      <alignment horizontal="left" vertical="center"/>
    </xf>
    <xf numFmtId="3" fontId="185" fillId="0" borderId="0" xfId="0" applyNumberFormat="1" applyFont="1" applyAlignment="1">
      <alignment horizontal="center" vertical="center"/>
    </xf>
    <xf numFmtId="14" fontId="185" fillId="0" borderId="0" xfId="0" applyNumberFormat="1" applyFont="1" applyAlignment="1">
      <alignment horizontal="center" vertical="center"/>
    </xf>
    <xf numFmtId="9" fontId="185" fillId="0" borderId="0" xfId="0" applyNumberFormat="1" applyFont="1" applyAlignment="1">
      <alignment horizontal="center" vertical="center"/>
    </xf>
    <xf numFmtId="175" fontId="185" fillId="0" borderId="0" xfId="0" applyNumberFormat="1" applyFont="1" applyAlignment="1">
      <alignment horizontal="center" vertical="center"/>
    </xf>
    <xf numFmtId="14" fontId="185" fillId="0" borderId="101" xfId="0" applyNumberFormat="1" applyFont="1" applyBorder="1" applyAlignment="1">
      <alignment horizontal="left" vertical="center"/>
    </xf>
    <xf numFmtId="0" fontId="14" fillId="14" borderId="0" xfId="0" applyFont="1" applyFill="1" applyAlignment="1">
      <alignment vertical="center"/>
    </xf>
    <xf numFmtId="0" fontId="0" fillId="14" borderId="0" xfId="0" applyFill="1" applyAlignment="1">
      <alignment horizontal="center" vertical="center"/>
    </xf>
    <xf numFmtId="9" fontId="185" fillId="14" borderId="0" xfId="0" applyNumberFormat="1" applyFont="1" applyFill="1" applyAlignment="1">
      <alignment horizontal="center" vertical="center"/>
    </xf>
    <xf numFmtId="175" fontId="185" fillId="14" borderId="0" xfId="0" applyNumberFormat="1" applyFont="1" applyFill="1" applyAlignment="1">
      <alignment horizontal="center" vertical="center"/>
    </xf>
    <xf numFmtId="0" fontId="29" fillId="9" borderId="103" xfId="7873" applyFont="1" applyFill="1" applyBorder="1" applyAlignment="1">
      <alignment horizontal="center" vertical="center" wrapText="1"/>
    </xf>
    <xf numFmtId="0" fontId="9" fillId="0" borderId="0" xfId="0" applyFont="1" applyAlignment="1">
      <alignment horizontal="center" wrapText="1"/>
    </xf>
    <xf numFmtId="39" fontId="29" fillId="123" borderId="0" xfId="0" applyNumberFormat="1" applyFont="1" applyFill="1" applyAlignment="1">
      <alignment horizontal="left" vertical="center" wrapText="1"/>
    </xf>
    <xf numFmtId="1" fontId="29" fillId="123" borderId="0" xfId="0" applyNumberFormat="1" applyFont="1" applyFill="1" applyAlignment="1">
      <alignment horizontal="center" vertical="center"/>
    </xf>
    <xf numFmtId="1" fontId="29" fillId="114" borderId="0" xfId="0" applyNumberFormat="1" applyFont="1" applyFill="1" applyAlignment="1">
      <alignment vertical="center" wrapText="1"/>
    </xf>
    <xf numFmtId="39" fontId="29" fillId="114" borderId="0" xfId="0" applyNumberFormat="1" applyFont="1" applyFill="1" applyAlignment="1">
      <alignment horizontal="left" vertical="center" wrapText="1"/>
    </xf>
    <xf numFmtId="1" fontId="29" fillId="114" borderId="0" xfId="0" applyNumberFormat="1" applyFont="1" applyFill="1" applyAlignment="1">
      <alignment horizontal="center" vertical="center"/>
    </xf>
    <xf numFmtId="0" fontId="30" fillId="14" borderId="38" xfId="7873" applyFont="1" applyFill="1" applyBorder="1" applyAlignment="1">
      <alignment horizontal="center" vertical="center"/>
    </xf>
    <xf numFmtId="0" fontId="30" fillId="14" borderId="39" xfId="7873" applyFont="1" applyFill="1" applyBorder="1" applyAlignment="1">
      <alignment horizontal="center" vertical="center"/>
    </xf>
    <xf numFmtId="0" fontId="30" fillId="14" borderId="37" xfId="7873" applyFont="1" applyFill="1" applyBorder="1" applyAlignment="1">
      <alignment horizontal="center" vertical="center"/>
    </xf>
    <xf numFmtId="0" fontId="25" fillId="20" borderId="17" xfId="7873" applyFont="1" applyFill="1" applyBorder="1" applyAlignment="1">
      <alignment horizontal="left" vertical="center" wrapText="1"/>
    </xf>
    <xf numFmtId="0" fontId="30" fillId="14" borderId="18" xfId="7873" applyFont="1" applyFill="1" applyBorder="1" applyAlignment="1">
      <alignment horizontal="center" vertical="center"/>
    </xf>
    <xf numFmtId="0" fontId="30" fillId="14" borderId="24" xfId="7873" applyFont="1" applyFill="1" applyBorder="1" applyAlignment="1">
      <alignment horizontal="center" vertical="center"/>
    </xf>
    <xf numFmtId="0" fontId="30" fillId="14" borderId="18" xfId="7873" applyFont="1" applyFill="1" applyBorder="1" applyAlignment="1">
      <alignment horizontal="center" vertical="center" wrapText="1"/>
    </xf>
    <xf numFmtId="0" fontId="30" fillId="14" borderId="23" xfId="7873" applyFont="1" applyFill="1" applyBorder="1" applyAlignment="1">
      <alignment horizontal="center" vertical="center" wrapText="1"/>
    </xf>
    <xf numFmtId="0" fontId="30" fillId="14" borderId="24" xfId="7873" applyFont="1" applyFill="1" applyBorder="1" applyAlignment="1">
      <alignment horizontal="center" vertical="center" wrapText="1"/>
    </xf>
    <xf numFmtId="0" fontId="30" fillId="14" borderId="34" xfId="7873" applyFont="1" applyFill="1" applyBorder="1" applyAlignment="1">
      <alignment horizontal="center" vertical="center"/>
    </xf>
    <xf numFmtId="0" fontId="30" fillId="14" borderId="23" xfId="7873" applyFont="1" applyFill="1" applyBorder="1" applyAlignment="1">
      <alignment horizontal="center" vertical="center"/>
    </xf>
    <xf numFmtId="0" fontId="30" fillId="0" borderId="38" xfId="7873" applyFont="1" applyBorder="1" applyAlignment="1">
      <alignment horizontal="center" vertical="center"/>
    </xf>
    <xf numFmtId="0" fontId="30" fillId="0" borderId="39" xfId="7873" applyFont="1" applyBorder="1" applyAlignment="1">
      <alignment horizontal="center" vertical="center"/>
    </xf>
    <xf numFmtId="0" fontId="30" fillId="0" borderId="37" xfId="7873" applyFont="1" applyBorder="1" applyAlignment="1">
      <alignment horizontal="center" vertical="center"/>
    </xf>
    <xf numFmtId="0" fontId="189" fillId="14" borderId="0" xfId="7873" applyFont="1" applyFill="1" applyAlignment="1">
      <alignment horizontal="center" vertical="center"/>
    </xf>
    <xf numFmtId="0" fontId="29" fillId="9" borderId="15" xfId="17" applyFont="1" applyFill="1" applyBorder="1" applyAlignment="1">
      <alignment horizontal="center" vertical="center" wrapText="1"/>
    </xf>
    <xf numFmtId="0" fontId="29" fillId="9" borderId="121" xfId="17" applyFont="1" applyFill="1" applyBorder="1" applyAlignment="1">
      <alignment horizontal="center" vertical="center" wrapText="1"/>
    </xf>
    <xf numFmtId="0" fontId="29" fillId="9" borderId="122" xfId="17" applyFont="1" applyFill="1" applyBorder="1" applyAlignment="1">
      <alignment horizontal="center" vertical="center" wrapText="1"/>
    </xf>
    <xf numFmtId="0" fontId="30" fillId="0" borderId="18" xfId="7873" applyFont="1" applyBorder="1" applyAlignment="1">
      <alignment horizontal="center" vertical="center"/>
    </xf>
    <xf numFmtId="0" fontId="30" fillId="0" borderId="23" xfId="7873" applyFont="1" applyBorder="1" applyAlignment="1">
      <alignment horizontal="center" vertical="center"/>
    </xf>
    <xf numFmtId="0" fontId="30" fillId="0" borderId="24" xfId="7873" applyFont="1" applyBorder="1" applyAlignment="1">
      <alignment horizontal="center" vertical="center"/>
    </xf>
    <xf numFmtId="0" fontId="25" fillId="20" borderId="17" xfId="7873" applyFont="1" applyFill="1" applyBorder="1" applyAlignment="1">
      <alignment vertical="center" wrapText="1"/>
    </xf>
    <xf numFmtId="0" fontId="30" fillId="14" borderId="38" xfId="7873" applyFont="1" applyFill="1" applyBorder="1" applyAlignment="1">
      <alignment horizontal="center" vertical="center" wrapText="1"/>
    </xf>
    <xf numFmtId="0" fontId="30" fillId="14" borderId="37" xfId="7873" applyFont="1" applyFill="1" applyBorder="1" applyAlignment="1">
      <alignment horizontal="center" vertical="center" wrapText="1"/>
    </xf>
    <xf numFmtId="0" fontId="14" fillId="17" borderId="0" xfId="0" applyFont="1" applyFill="1" applyAlignment="1">
      <alignment horizontal="left" vertical="center"/>
    </xf>
    <xf numFmtId="0" fontId="193" fillId="116" borderId="99" xfId="0" applyFont="1" applyFill="1" applyBorder="1" applyAlignment="1">
      <alignment horizontal="center" vertical="center"/>
    </xf>
    <xf numFmtId="0" fontId="209" fillId="0" borderId="127" xfId="0" applyFont="1" applyBorder="1" applyAlignment="1">
      <alignment horizontal="center" vertical="center"/>
    </xf>
    <xf numFmtId="0" fontId="209" fillId="0" borderId="0" xfId="0" applyFont="1" applyAlignment="1">
      <alignment horizontal="center" vertical="center"/>
    </xf>
    <xf numFmtId="0" fontId="209" fillId="0" borderId="125" xfId="0" applyFont="1" applyBorder="1" applyAlignment="1">
      <alignment horizontal="center" vertical="center"/>
    </xf>
    <xf numFmtId="0" fontId="209" fillId="0" borderId="128" xfId="0" applyFont="1" applyBorder="1" applyAlignment="1">
      <alignment horizontal="center" vertical="center"/>
    </xf>
    <xf numFmtId="0" fontId="209" fillId="0" borderId="128" xfId="0" applyFont="1" applyBorder="1" applyAlignment="1">
      <alignment horizontal="center" vertical="center" wrapText="1"/>
    </xf>
    <xf numFmtId="0" fontId="209" fillId="0" borderId="0" xfId="0" applyFont="1" applyAlignment="1">
      <alignment horizontal="center" vertical="center" wrapText="1"/>
    </xf>
    <xf numFmtId="0" fontId="209" fillId="0" borderId="125" xfId="0" applyFont="1" applyBorder="1" applyAlignment="1">
      <alignment horizontal="center" vertical="center" wrapText="1"/>
    </xf>
    <xf numFmtId="0" fontId="40" fillId="0" borderId="108" xfId="65" applyFont="1" applyBorder="1" applyAlignment="1">
      <alignment horizontal="left" vertical="center"/>
    </xf>
    <xf numFmtId="0" fontId="40" fillId="0" borderId="111" xfId="65" applyFont="1" applyBorder="1" applyAlignment="1">
      <alignment horizontal="left" vertical="center"/>
    </xf>
    <xf numFmtId="0" fontId="40" fillId="0" borderId="110" xfId="65" applyFont="1" applyBorder="1" applyAlignment="1">
      <alignment horizontal="left" vertical="center"/>
    </xf>
    <xf numFmtId="0" fontId="40" fillId="0" borderId="108" xfId="65" applyFont="1" applyBorder="1" applyAlignment="1">
      <alignment horizontal="center" vertical="center"/>
    </xf>
    <xf numFmtId="0" fontId="40" fillId="0" borderId="111" xfId="65" applyFont="1" applyBorder="1" applyAlignment="1">
      <alignment horizontal="center" vertical="center"/>
    </xf>
    <xf numFmtId="0" fontId="40" fillId="0" borderId="110" xfId="65" applyFont="1" applyBorder="1" applyAlignment="1">
      <alignment horizontal="center" vertical="center"/>
    </xf>
    <xf numFmtId="10" fontId="197" fillId="14" borderId="108" xfId="0" applyNumberFormat="1" applyFont="1" applyFill="1" applyBorder="1" applyAlignment="1">
      <alignment horizontal="right" vertical="center"/>
    </xf>
    <xf numFmtId="10" fontId="197" fillId="14" borderId="111" xfId="0" applyNumberFormat="1" applyFont="1" applyFill="1" applyBorder="1" applyAlignment="1">
      <alignment horizontal="right" vertical="center"/>
    </xf>
    <xf numFmtId="10" fontId="197" fillId="14" borderId="110" xfId="0" applyNumberFormat="1" applyFont="1" applyFill="1" applyBorder="1" applyAlignment="1">
      <alignment horizontal="right" vertical="center"/>
    </xf>
    <xf numFmtId="0" fontId="197" fillId="0" borderId="108" xfId="0" applyFont="1" applyBorder="1" applyAlignment="1">
      <alignment horizontal="left" vertical="center"/>
    </xf>
    <xf numFmtId="0" fontId="197" fillId="0" borderId="110" xfId="0" applyFont="1" applyBorder="1" applyAlignment="1">
      <alignment horizontal="left" vertical="center"/>
    </xf>
    <xf numFmtId="10" fontId="40" fillId="14" borderId="108" xfId="7877" applyNumberFormat="1" applyFont="1" applyFill="1" applyBorder="1" applyAlignment="1">
      <alignment horizontal="right" vertical="center"/>
    </xf>
    <xf numFmtId="10" fontId="40" fillId="14" borderId="110" xfId="7877" applyNumberFormat="1" applyFont="1" applyFill="1" applyBorder="1" applyAlignment="1">
      <alignment horizontal="right" vertical="center"/>
    </xf>
    <xf numFmtId="0" fontId="197" fillId="0" borderId="108" xfId="0" applyFont="1" applyBorder="1" applyAlignment="1">
      <alignment horizontal="center" vertical="center"/>
    </xf>
    <xf numFmtId="0" fontId="197" fillId="0" borderId="110" xfId="0" applyFont="1" applyBorder="1" applyAlignment="1">
      <alignment horizontal="center" vertical="center"/>
    </xf>
    <xf numFmtId="0" fontId="197" fillId="0" borderId="111" xfId="0" applyFont="1" applyBorder="1" applyAlignment="1">
      <alignment horizontal="left" vertical="center"/>
    </xf>
    <xf numFmtId="220" fontId="197" fillId="0" borderId="108" xfId="0" applyNumberFormat="1" applyFont="1" applyBorder="1" applyAlignment="1">
      <alignment horizontal="center" vertical="center"/>
    </xf>
    <xf numFmtId="220" fontId="197" fillId="0" borderId="111" xfId="0" applyNumberFormat="1" applyFont="1" applyBorder="1" applyAlignment="1">
      <alignment horizontal="center" vertical="center"/>
    </xf>
    <xf numFmtId="220" fontId="197" fillId="0" borderId="110" xfId="0" applyNumberFormat="1" applyFont="1" applyBorder="1" applyAlignment="1">
      <alignment horizontal="center" vertical="center"/>
    </xf>
    <xf numFmtId="220" fontId="197" fillId="0" borderId="113" xfId="0" applyNumberFormat="1" applyFont="1" applyBorder="1" applyAlignment="1">
      <alignment horizontal="center" vertical="center"/>
    </xf>
    <xf numFmtId="220" fontId="197" fillId="0" borderId="114" xfId="0" applyNumberFormat="1" applyFont="1" applyBorder="1" applyAlignment="1">
      <alignment horizontal="center" vertical="center"/>
    </xf>
    <xf numFmtId="220" fontId="198" fillId="0" borderId="113" xfId="0" applyNumberFormat="1" applyFont="1" applyBorder="1" applyAlignment="1">
      <alignment horizontal="center" vertical="center"/>
    </xf>
    <xf numFmtId="220" fontId="198" fillId="0" borderId="114" xfId="0" applyNumberFormat="1" applyFont="1" applyBorder="1" applyAlignment="1">
      <alignment horizontal="center" vertical="center"/>
    </xf>
    <xf numFmtId="10" fontId="40" fillId="14" borderId="111" xfId="7877" applyNumberFormat="1" applyFont="1" applyFill="1" applyBorder="1" applyAlignment="1">
      <alignment horizontal="right" vertical="center"/>
    </xf>
  </cellXfs>
  <cellStyles count="7881">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44" xfId="7878" xr:uid="{4789FE7C-5D07-44E9-A39F-761A0289EBF3}"/>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8 4" xfId="7879" xr:uid="{652443C5-88AE-498B-92D1-1D70225F5572}"/>
    <cellStyle name="Normal 38 5" xfId="7880" xr:uid="{8157F689-1AD8-423D-817C-EB2217EBCDBC}"/>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xfId="7877" builtinId="5"/>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472440</xdr:colOff>
      <xdr:row>0</xdr:row>
      <xdr:rowOff>91440</xdr:rowOff>
    </xdr:from>
    <xdr:to>
      <xdr:col>6</xdr:col>
      <xdr:colOff>858238</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24</xdr:col>
      <xdr:colOff>3389</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5D9A6A52-AF7A-46FE-8CD3-4402D06A5B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3423"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4</xdr:col>
      <xdr:colOff>248072</xdr:colOff>
      <xdr:row>4</xdr:row>
      <xdr:rowOff>128831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12700</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762000" y="196850"/>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549064</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155789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554355</xdr:colOff>
      <xdr:row>4</xdr:row>
      <xdr:rowOff>91441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513406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row>
        <row r="9">
          <cell r="D9" t="str">
            <v>2005janeiroOESTE</v>
          </cell>
          <cell r="E9">
            <v>3260</v>
          </cell>
          <cell r="F9">
            <v>126</v>
          </cell>
          <cell r="G9"/>
        </row>
        <row r="10">
          <cell r="D10" t="str">
            <v>2005janeiroABC</v>
          </cell>
          <cell r="E10">
            <v>2340</v>
          </cell>
          <cell r="F10">
            <v>0</v>
          </cell>
          <cell r="G10"/>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cell r="H19"/>
        </row>
        <row r="20">
          <cell r="D20" t="str">
            <v>2005fevereiroOESTE</v>
          </cell>
          <cell r="E20">
            <v>3233</v>
          </cell>
          <cell r="F20">
            <v>173</v>
          </cell>
          <cell r="G20"/>
          <cell r="H20"/>
        </row>
        <row r="21">
          <cell r="D21" t="str">
            <v>2005fevereiroABC</v>
          </cell>
          <cell r="E21">
            <v>2335</v>
          </cell>
          <cell r="F21">
            <v>474</v>
          </cell>
          <cell r="G21"/>
          <cell r="H21"/>
        </row>
        <row r="22">
          <cell r="D22" t="str">
            <v>2005fevereiroUnidade Poder Publico</v>
          </cell>
          <cell r="E22">
            <v>11618</v>
          </cell>
          <cell r="F22">
            <v>769</v>
          </cell>
          <cell r="G22">
            <v>769</v>
          </cell>
          <cell r="H22"/>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cell r="H30"/>
        </row>
        <row r="31">
          <cell r="D31" t="str">
            <v>2005marçoOESTE</v>
          </cell>
          <cell r="E31">
            <v>3130</v>
          </cell>
          <cell r="F31">
            <v>43</v>
          </cell>
          <cell r="G31"/>
          <cell r="H31"/>
        </row>
        <row r="32">
          <cell r="D32" t="str">
            <v>2005marçoABC</v>
          </cell>
          <cell r="E32">
            <v>2319</v>
          </cell>
          <cell r="F32">
            <v>943</v>
          </cell>
          <cell r="G32"/>
          <cell r="H32"/>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cell r="F35"/>
          <cell r="G35"/>
          <cell r="H35"/>
          <cell r="I35">
            <v>557.09806247528672</v>
          </cell>
          <cell r="J35">
            <v>869</v>
          </cell>
          <cell r="K35">
            <v>1264</v>
          </cell>
        </row>
        <row r="36">
          <cell r="D36" t="str">
            <v>2005abrilUnidade São Paulo Sul</v>
          </cell>
          <cell r="E36"/>
          <cell r="F36"/>
          <cell r="G36"/>
          <cell r="H36"/>
          <cell r="I36">
            <v>553.14609147927183</v>
          </cell>
          <cell r="J36">
            <v>1588</v>
          </cell>
          <cell r="K36">
            <v>934</v>
          </cell>
        </row>
        <row r="37">
          <cell r="D37" t="str">
            <v>2005abrilUnidade Anhembi</v>
          </cell>
          <cell r="E37"/>
          <cell r="F37"/>
          <cell r="G37"/>
          <cell r="H37"/>
          <cell r="I37">
            <v>369.61863133451715</v>
          </cell>
          <cell r="J37">
            <v>1324</v>
          </cell>
          <cell r="K37">
            <v>1194</v>
          </cell>
        </row>
        <row r="38">
          <cell r="D38" t="str">
            <v>2005abrilUnidade Centro</v>
          </cell>
          <cell r="E38"/>
          <cell r="F38"/>
          <cell r="G38"/>
          <cell r="H38"/>
          <cell r="I38">
            <v>891</v>
          </cell>
          <cell r="J38">
            <v>845</v>
          </cell>
          <cell r="K38">
            <v>1645</v>
          </cell>
        </row>
        <row r="39">
          <cell r="D39" t="str">
            <v>2005abrilUnidade Leste</v>
          </cell>
          <cell r="E39"/>
          <cell r="F39"/>
          <cell r="G39"/>
          <cell r="H39"/>
          <cell r="I39">
            <v>432.65428913664425</v>
          </cell>
          <cell r="J39">
            <v>2513</v>
          </cell>
          <cell r="K39">
            <v>1038</v>
          </cell>
        </row>
        <row r="40">
          <cell r="D40" t="str">
            <v>2005abrilUnidade Grande ABC</v>
          </cell>
          <cell r="E40"/>
          <cell r="F40"/>
          <cell r="G40"/>
          <cell r="H40"/>
          <cell r="I40">
            <v>565.65615501519756</v>
          </cell>
          <cell r="J40">
            <v>1356</v>
          </cell>
          <cell r="K40">
            <v>940</v>
          </cell>
        </row>
        <row r="41">
          <cell r="D41" t="str">
            <v>2005abrilCAPITAL</v>
          </cell>
          <cell r="E41"/>
          <cell r="F41"/>
          <cell r="G41"/>
          <cell r="H41"/>
        </row>
        <row r="42">
          <cell r="D42" t="str">
            <v>2005abrilOESTE</v>
          </cell>
          <cell r="E42"/>
          <cell r="F42"/>
          <cell r="G42"/>
          <cell r="H42"/>
        </row>
        <row r="43">
          <cell r="D43" t="str">
            <v>2005abrilABC</v>
          </cell>
          <cell r="E43"/>
          <cell r="F43"/>
          <cell r="G43"/>
          <cell r="H43"/>
        </row>
        <row r="44">
          <cell r="D44" t="str">
            <v>2005abrilUnidade Poder Publico</v>
          </cell>
          <cell r="E44" t="str">
            <v xml:space="preserve"> </v>
          </cell>
          <cell r="F44" t="str">
            <v xml:space="preserve"> </v>
          </cell>
          <cell r="H44" t="str">
            <v xml:space="preserve"> </v>
          </cell>
          <cell r="J44">
            <v>791</v>
          </cell>
        </row>
        <row r="45">
          <cell r="D45" t="str">
            <v>2005abrilAES Eletropaulo</v>
          </cell>
          <cell r="E45"/>
          <cell r="F45"/>
          <cell r="G45"/>
          <cell r="H45"/>
          <cell r="I45">
            <v>518</v>
          </cell>
          <cell r="J45">
            <v>8944</v>
          </cell>
          <cell r="K45">
            <v>1098</v>
          </cell>
        </row>
        <row r="46">
          <cell r="D46" t="str">
            <v>2005maioUnidade Oeste</v>
          </cell>
          <cell r="E46"/>
          <cell r="F46"/>
          <cell r="G46"/>
          <cell r="H46"/>
          <cell r="I46">
            <v>586</v>
          </cell>
          <cell r="J46">
            <v>867</v>
          </cell>
          <cell r="K46">
            <v>1268</v>
          </cell>
        </row>
        <row r="47">
          <cell r="D47" t="str">
            <v>2005maioUnidade São Paulo Sul</v>
          </cell>
          <cell r="E47"/>
          <cell r="F47"/>
          <cell r="G47"/>
          <cell r="H47"/>
          <cell r="I47">
            <v>545</v>
          </cell>
          <cell r="J47">
            <v>1548</v>
          </cell>
          <cell r="K47">
            <v>960</v>
          </cell>
        </row>
        <row r="48">
          <cell r="D48" t="str">
            <v>2005maioUnidade Anhembi</v>
          </cell>
          <cell r="E48"/>
          <cell r="F48"/>
          <cell r="G48"/>
          <cell r="H48"/>
          <cell r="I48">
            <v>382</v>
          </cell>
          <cell r="J48">
            <v>1253</v>
          </cell>
          <cell r="K48">
            <v>1213</v>
          </cell>
        </row>
        <row r="49">
          <cell r="D49" t="str">
            <v>2005maioUnidade Centro</v>
          </cell>
          <cell r="E49"/>
          <cell r="F49"/>
          <cell r="G49"/>
          <cell r="H49"/>
          <cell r="I49">
            <v>941</v>
          </cell>
          <cell r="J49">
            <v>846</v>
          </cell>
          <cell r="K49">
            <v>1642</v>
          </cell>
        </row>
        <row r="50">
          <cell r="D50" t="str">
            <v>2005maioUnidade Leste</v>
          </cell>
          <cell r="E50"/>
          <cell r="F50"/>
          <cell r="G50"/>
          <cell r="H50"/>
          <cell r="I50">
            <v>448</v>
          </cell>
          <cell r="J50">
            <v>2426</v>
          </cell>
          <cell r="K50">
            <v>1063</v>
          </cell>
        </row>
        <row r="51">
          <cell r="D51" t="str">
            <v>2005maioUnidade Grande ABC</v>
          </cell>
          <cell r="E51"/>
          <cell r="F51"/>
          <cell r="G51"/>
          <cell r="H51"/>
          <cell r="I51">
            <v>591</v>
          </cell>
          <cell r="J51">
            <v>1303</v>
          </cell>
          <cell r="K51">
            <v>987</v>
          </cell>
        </row>
        <row r="52">
          <cell r="D52" t="str">
            <v>2005maioCAPITAL</v>
          </cell>
          <cell r="E52"/>
          <cell r="F52"/>
          <cell r="G52"/>
          <cell r="H52"/>
        </row>
        <row r="53">
          <cell r="D53" t="str">
            <v>2005maioOESTE</v>
          </cell>
          <cell r="E53"/>
          <cell r="F53"/>
          <cell r="G53"/>
          <cell r="H53"/>
        </row>
        <row r="54">
          <cell r="D54" t="str">
            <v>2005maioABC</v>
          </cell>
          <cell r="E54"/>
          <cell r="F54"/>
          <cell r="G54"/>
          <cell r="H54"/>
        </row>
        <row r="55">
          <cell r="D55" t="str">
            <v>2005maioUnidade Poder Publico</v>
          </cell>
          <cell r="E55" t="str">
            <v xml:space="preserve"> </v>
          </cell>
          <cell r="F55" t="str">
            <v xml:space="preserve"> </v>
          </cell>
          <cell r="H55" t="str">
            <v xml:space="preserve"> </v>
          </cell>
          <cell r="J55">
            <v>789</v>
          </cell>
        </row>
        <row r="56">
          <cell r="D56" t="str">
            <v>2005maioAES Eletropaulo</v>
          </cell>
          <cell r="E56"/>
          <cell r="F56"/>
          <cell r="G56"/>
          <cell r="H56"/>
          <cell r="I56">
            <v>533</v>
          </cell>
          <cell r="J56">
            <v>8633</v>
          </cell>
          <cell r="K56">
            <v>1117</v>
          </cell>
        </row>
        <row r="57">
          <cell r="D57" t="str">
            <v>2005junhoUnidade Oeste</v>
          </cell>
          <cell r="E57"/>
          <cell r="F57"/>
          <cell r="G57"/>
          <cell r="H57"/>
          <cell r="I57">
            <v>623.4454759799587</v>
          </cell>
          <cell r="J57">
            <v>864</v>
          </cell>
          <cell r="K57">
            <v>1273</v>
          </cell>
        </row>
        <row r="58">
          <cell r="D58" t="str">
            <v>2005junhoUnidade São Paulo Sul</v>
          </cell>
          <cell r="E58"/>
          <cell r="F58"/>
          <cell r="G58"/>
          <cell r="H58"/>
          <cell r="I58">
            <v>546.96609657947681</v>
          </cell>
          <cell r="J58">
            <v>1510</v>
          </cell>
          <cell r="K58">
            <v>987</v>
          </cell>
        </row>
        <row r="59">
          <cell r="D59" t="str">
            <v>2005junhoUnidade Anhembi</v>
          </cell>
          <cell r="E59"/>
          <cell r="F59"/>
          <cell r="G59"/>
          <cell r="H59"/>
          <cell r="I59">
            <v>409.84953703703701</v>
          </cell>
          <cell r="J59">
            <v>1185</v>
          </cell>
          <cell r="K59">
            <v>1233</v>
          </cell>
        </row>
        <row r="60">
          <cell r="D60" t="str">
            <v>2005junhoUnidade Centro</v>
          </cell>
          <cell r="E60"/>
          <cell r="F60"/>
          <cell r="G60"/>
          <cell r="H60"/>
          <cell r="I60">
            <v>975</v>
          </cell>
          <cell r="J60">
            <v>846</v>
          </cell>
          <cell r="K60">
            <v>1639</v>
          </cell>
        </row>
        <row r="61">
          <cell r="D61" t="str">
            <v>2005junhoUnidade Leste</v>
          </cell>
          <cell r="E61"/>
          <cell r="F61"/>
          <cell r="G61"/>
          <cell r="H61"/>
          <cell r="I61">
            <v>467.77883850437547</v>
          </cell>
          <cell r="J61">
            <v>2343</v>
          </cell>
          <cell r="K61">
            <v>1090</v>
          </cell>
        </row>
        <row r="62">
          <cell r="D62" t="str">
            <v>2005junhoUnidade Grande ABC</v>
          </cell>
          <cell r="E62"/>
          <cell r="F62"/>
          <cell r="G62"/>
          <cell r="H62"/>
          <cell r="I62">
            <v>611.07614628820966</v>
          </cell>
          <cell r="J62">
            <v>1252</v>
          </cell>
          <cell r="K62">
            <v>1037</v>
          </cell>
        </row>
        <row r="63">
          <cell r="D63" t="str">
            <v>2005junhoCAPITAL</v>
          </cell>
          <cell r="E63"/>
          <cell r="F63"/>
          <cell r="G63"/>
          <cell r="H63"/>
        </row>
        <row r="64">
          <cell r="D64" t="str">
            <v>2005junhoOESTE</v>
          </cell>
          <cell r="E64"/>
          <cell r="F64"/>
          <cell r="G64"/>
          <cell r="H64"/>
        </row>
        <row r="65">
          <cell r="D65" t="str">
            <v>2005junhoABC</v>
          </cell>
          <cell r="E65"/>
          <cell r="F65"/>
          <cell r="G65"/>
          <cell r="H65"/>
        </row>
        <row r="66">
          <cell r="D66" t="str">
            <v>2005junhoUnidade Poder Publico</v>
          </cell>
          <cell r="E66" t="str">
            <v xml:space="preserve"> </v>
          </cell>
          <cell r="F66" t="str">
            <v xml:space="preserve"> </v>
          </cell>
          <cell r="H66" t="str">
            <v xml:space="preserve"> </v>
          </cell>
          <cell r="J66">
            <v>786</v>
          </cell>
        </row>
        <row r="67">
          <cell r="D67" t="str">
            <v>2005junhoAES Eletropaulo</v>
          </cell>
          <cell r="E67"/>
          <cell r="F67"/>
          <cell r="G67"/>
          <cell r="H67"/>
          <cell r="I67">
            <v>557</v>
          </cell>
          <cell r="J67">
            <v>8332</v>
          </cell>
          <cell r="K67">
            <v>1136</v>
          </cell>
        </row>
        <row r="68">
          <cell r="D68" t="str">
            <v>2005julhoUnidade Oeste</v>
          </cell>
          <cell r="E68"/>
          <cell r="F68"/>
          <cell r="G68"/>
          <cell r="H68"/>
          <cell r="I68">
            <v>647.30774269618757</v>
          </cell>
          <cell r="J68">
            <v>862</v>
          </cell>
          <cell r="K68">
            <v>1277</v>
          </cell>
        </row>
        <row r="69">
          <cell r="D69" t="str">
            <v>2005julhoUnidade São Paulo Sul</v>
          </cell>
          <cell r="E69"/>
          <cell r="F69"/>
          <cell r="G69"/>
          <cell r="H69"/>
          <cell r="I69">
            <v>547.53747951349953</v>
          </cell>
          <cell r="J69">
            <v>1473</v>
          </cell>
          <cell r="K69">
            <v>1015</v>
          </cell>
        </row>
        <row r="70">
          <cell r="D70" t="str">
            <v>2005julhoUnidade Anhembi</v>
          </cell>
          <cell r="E70"/>
          <cell r="F70"/>
          <cell r="G70"/>
          <cell r="H70"/>
          <cell r="I70">
            <v>429.62757313109427</v>
          </cell>
          <cell r="J70">
            <v>1121</v>
          </cell>
          <cell r="K70">
            <v>1253</v>
          </cell>
        </row>
        <row r="71">
          <cell r="D71" t="str">
            <v>2005julhoUnidade Centro</v>
          </cell>
          <cell r="E71"/>
          <cell r="F71"/>
          <cell r="G71"/>
          <cell r="H71"/>
          <cell r="I71">
            <v>1012</v>
          </cell>
          <cell r="J71">
            <v>847</v>
          </cell>
          <cell r="K71">
            <v>1636</v>
          </cell>
        </row>
        <row r="72">
          <cell r="D72" t="str">
            <v>2005julhoUnidade Leste</v>
          </cell>
          <cell r="E72"/>
          <cell r="F72"/>
          <cell r="G72"/>
          <cell r="H72"/>
          <cell r="I72">
            <v>484.29740366541353</v>
          </cell>
          <cell r="J72">
            <v>2263</v>
          </cell>
          <cell r="K72">
            <v>1116</v>
          </cell>
        </row>
        <row r="73">
          <cell r="D73" t="str">
            <v>2005julhoUnidade Grande ABC</v>
          </cell>
          <cell r="E73"/>
          <cell r="F73"/>
          <cell r="G73"/>
          <cell r="H73"/>
          <cell r="I73">
            <v>625.8533141899976</v>
          </cell>
          <cell r="J73">
            <v>1203</v>
          </cell>
          <cell r="K73">
            <v>1089</v>
          </cell>
        </row>
        <row r="74">
          <cell r="D74" t="str">
            <v>2005julhoCAPITAL</v>
          </cell>
          <cell r="E74"/>
          <cell r="F74"/>
          <cell r="G74"/>
          <cell r="H74"/>
        </row>
        <row r="75">
          <cell r="D75" t="str">
            <v>2005julhoOESTE</v>
          </cell>
          <cell r="E75"/>
          <cell r="F75"/>
          <cell r="G75"/>
          <cell r="H75"/>
        </row>
        <row r="76">
          <cell r="D76" t="str">
            <v>2005julhoABC</v>
          </cell>
          <cell r="E76"/>
          <cell r="F76"/>
          <cell r="G76"/>
          <cell r="H76"/>
        </row>
        <row r="77">
          <cell r="D77" t="str">
            <v>2005julhoUnidade Poder Publico</v>
          </cell>
          <cell r="E77" t="str">
            <v xml:space="preserve"> </v>
          </cell>
          <cell r="F77" t="str">
            <v xml:space="preserve"> </v>
          </cell>
          <cell r="H77" t="str">
            <v xml:space="preserve"> </v>
          </cell>
          <cell r="J77">
            <v>784</v>
          </cell>
        </row>
        <row r="78">
          <cell r="D78" t="str">
            <v>2005julhoAES Eletropaulo</v>
          </cell>
          <cell r="E78"/>
          <cell r="F78"/>
          <cell r="G78"/>
          <cell r="H78"/>
          <cell r="I78">
            <v>574</v>
          </cell>
          <cell r="J78">
            <v>8042</v>
          </cell>
          <cell r="K78">
            <v>1155</v>
          </cell>
        </row>
        <row r="79">
          <cell r="D79" t="str">
            <v>2005agostoUnidade Oeste</v>
          </cell>
          <cell r="E79"/>
          <cell r="F79"/>
          <cell r="G79"/>
          <cell r="H79"/>
          <cell r="I79">
            <v>668.86050917702778</v>
          </cell>
          <cell r="J79">
            <v>860</v>
          </cell>
          <cell r="K79">
            <v>1282</v>
          </cell>
        </row>
        <row r="80">
          <cell r="D80" t="str">
            <v>2005agostoUnidade São Paulo Sul</v>
          </cell>
          <cell r="E80"/>
          <cell r="F80"/>
          <cell r="G80"/>
          <cell r="H80"/>
          <cell r="I80">
            <v>546.85010545344983</v>
          </cell>
          <cell r="J80">
            <v>1436</v>
          </cell>
          <cell r="K80">
            <v>1043</v>
          </cell>
        </row>
        <row r="81">
          <cell r="D81" t="str">
            <v>2005agostoUnidade Anhembi</v>
          </cell>
          <cell r="E81"/>
          <cell r="F81"/>
          <cell r="G81"/>
          <cell r="H81"/>
          <cell r="I81">
            <v>447.72423993426457</v>
          </cell>
          <cell r="J81">
            <v>1061</v>
          </cell>
          <cell r="K81">
            <v>1273</v>
          </cell>
        </row>
        <row r="82">
          <cell r="D82" t="str">
            <v>2005agostoUnidade Centro</v>
          </cell>
          <cell r="E82"/>
          <cell r="F82"/>
          <cell r="G82"/>
          <cell r="H82"/>
          <cell r="I82">
            <v>1049</v>
          </cell>
          <cell r="J82">
            <v>848</v>
          </cell>
          <cell r="K82">
            <v>1632</v>
          </cell>
        </row>
        <row r="83">
          <cell r="D83" t="str">
            <v>2005agostoUnidade Leste</v>
          </cell>
          <cell r="E83"/>
          <cell r="F83"/>
          <cell r="G83"/>
          <cell r="H83"/>
          <cell r="I83">
            <v>492.82316404822797</v>
          </cell>
          <cell r="J83">
            <v>2185</v>
          </cell>
          <cell r="K83">
            <v>1144</v>
          </cell>
        </row>
        <row r="84">
          <cell r="D84" t="str">
            <v>2005agostoUnidade Grande ABC</v>
          </cell>
          <cell r="E84"/>
          <cell r="F84"/>
          <cell r="G84"/>
          <cell r="H84"/>
          <cell r="I84">
            <v>626.20473100272136</v>
          </cell>
          <cell r="J84">
            <v>1157</v>
          </cell>
          <cell r="K84">
            <v>1143</v>
          </cell>
        </row>
        <row r="85">
          <cell r="D85" t="str">
            <v>2005agostoCAPITAL</v>
          </cell>
          <cell r="E85"/>
          <cell r="F85"/>
          <cell r="G85"/>
          <cell r="H85"/>
        </row>
        <row r="86">
          <cell r="D86" t="str">
            <v>2005agostoOESTE</v>
          </cell>
          <cell r="E86"/>
          <cell r="F86"/>
          <cell r="G86"/>
          <cell r="H86"/>
        </row>
        <row r="87">
          <cell r="D87" t="str">
            <v>2005agostoABC</v>
          </cell>
          <cell r="E87"/>
          <cell r="F87"/>
          <cell r="G87"/>
          <cell r="H87"/>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cell r="F89"/>
          <cell r="G89"/>
          <cell r="H89"/>
          <cell r="I89">
            <v>585</v>
          </cell>
          <cell r="J89">
            <v>7762</v>
          </cell>
          <cell r="K89">
            <v>1175</v>
          </cell>
        </row>
        <row r="90">
          <cell r="D90" t="str">
            <v>2005setembroUnidade Oeste</v>
          </cell>
          <cell r="E90"/>
          <cell r="F90"/>
          <cell r="G90"/>
          <cell r="H90"/>
          <cell r="I90">
            <v>695.33227744401961</v>
          </cell>
          <cell r="J90">
            <v>857</v>
          </cell>
          <cell r="K90">
            <v>1286</v>
          </cell>
        </row>
        <row r="91">
          <cell r="D91" t="str">
            <v>2005setembroUnidade São Paulo Sul</v>
          </cell>
          <cell r="E91"/>
          <cell r="F91"/>
          <cell r="G91"/>
          <cell r="H91"/>
          <cell r="I91">
            <v>563.28971125353178</v>
          </cell>
          <cell r="J91">
            <v>1401</v>
          </cell>
          <cell r="K91">
            <v>1073</v>
          </cell>
        </row>
        <row r="92">
          <cell r="D92" t="str">
            <v>2005setembroUnidade Anhembi</v>
          </cell>
          <cell r="E92"/>
          <cell r="F92"/>
          <cell r="G92"/>
          <cell r="H92"/>
          <cell r="I92">
            <v>486.81643813901877</v>
          </cell>
          <cell r="J92">
            <v>1004</v>
          </cell>
          <cell r="K92">
            <v>1293</v>
          </cell>
        </row>
        <row r="93">
          <cell r="D93" t="str">
            <v>2005setembroUnidade Centro</v>
          </cell>
          <cell r="E93"/>
          <cell r="F93"/>
          <cell r="G93"/>
          <cell r="H93"/>
          <cell r="I93">
            <v>1049</v>
          </cell>
          <cell r="J93">
            <v>848</v>
          </cell>
          <cell r="K93">
            <v>1629</v>
          </cell>
        </row>
        <row r="94">
          <cell r="D94" t="str">
            <v>2005setembroUnidade Leste</v>
          </cell>
          <cell r="E94"/>
          <cell r="F94"/>
          <cell r="G94"/>
          <cell r="H94"/>
          <cell r="I94">
            <v>514.88249806501551</v>
          </cell>
          <cell r="J94">
            <v>2110</v>
          </cell>
          <cell r="K94">
            <v>1172</v>
          </cell>
        </row>
        <row r="95">
          <cell r="D95" t="str">
            <v>2005setembroUnidade Grande ABC</v>
          </cell>
          <cell r="E95"/>
          <cell r="F95"/>
          <cell r="G95"/>
          <cell r="H95"/>
          <cell r="I95">
            <v>618.54271817931544</v>
          </cell>
          <cell r="J95">
            <v>1111</v>
          </cell>
          <cell r="K95">
            <v>1200</v>
          </cell>
        </row>
        <row r="96">
          <cell r="D96" t="str">
            <v>2005setembroCAPITAL</v>
          </cell>
          <cell r="E96"/>
          <cell r="F96"/>
          <cell r="G96"/>
          <cell r="H96"/>
        </row>
        <row r="97">
          <cell r="D97" t="str">
            <v>2005setembroOESTE</v>
          </cell>
          <cell r="E97"/>
          <cell r="F97"/>
          <cell r="G97"/>
          <cell r="H97"/>
        </row>
        <row r="98">
          <cell r="D98" t="str">
            <v>2005setembroABC</v>
          </cell>
          <cell r="E98"/>
          <cell r="F98"/>
          <cell r="G98"/>
          <cell r="H98"/>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cell r="F100"/>
          <cell r="G100"/>
          <cell r="H100"/>
          <cell r="I100">
            <v>608</v>
          </cell>
          <cell r="J100">
            <v>7492</v>
          </cell>
          <cell r="K100">
            <v>1195</v>
          </cell>
        </row>
        <row r="101">
          <cell r="D101" t="str">
            <v>2005outubroUnidade Oeste</v>
          </cell>
          <cell r="E101"/>
          <cell r="F101"/>
          <cell r="G101"/>
          <cell r="H101"/>
          <cell r="I101">
            <v>730.32814432989687</v>
          </cell>
          <cell r="J101">
            <v>855</v>
          </cell>
          <cell r="K101">
            <v>1291</v>
          </cell>
        </row>
        <row r="102">
          <cell r="D102" t="str">
            <v>2005outubroUnidade São Paulo Sul</v>
          </cell>
          <cell r="E102"/>
          <cell r="F102"/>
          <cell r="G102"/>
          <cell r="H102"/>
          <cell r="I102">
            <v>586</v>
          </cell>
          <cell r="J102">
            <v>1366</v>
          </cell>
          <cell r="K102">
            <v>1103</v>
          </cell>
        </row>
        <row r="103">
          <cell r="D103" t="str">
            <v>2005outubroUnidade Anhembi</v>
          </cell>
          <cell r="E103"/>
          <cell r="F103"/>
          <cell r="G103"/>
          <cell r="H103"/>
          <cell r="I103">
            <v>516.66364392050173</v>
          </cell>
          <cell r="J103">
            <v>950</v>
          </cell>
          <cell r="K103">
            <v>1314</v>
          </cell>
        </row>
        <row r="104">
          <cell r="D104" t="str">
            <v>2005outubroUnidade Centro</v>
          </cell>
          <cell r="E104"/>
          <cell r="F104"/>
          <cell r="G104"/>
          <cell r="H104"/>
          <cell r="I104">
            <v>1051</v>
          </cell>
          <cell r="J104">
            <v>849</v>
          </cell>
          <cell r="K104">
            <v>1626</v>
          </cell>
        </row>
        <row r="105">
          <cell r="D105" t="str">
            <v>2005outubroUnidade Leste</v>
          </cell>
          <cell r="E105"/>
          <cell r="F105"/>
          <cell r="G105"/>
          <cell r="H105"/>
          <cell r="I105">
            <v>549.95960627727732</v>
          </cell>
          <cell r="J105">
            <v>2038</v>
          </cell>
          <cell r="K105">
            <v>1200</v>
          </cell>
        </row>
        <row r="106">
          <cell r="D106" t="str">
            <v>2005outubroUnidade Grande ABC</v>
          </cell>
          <cell r="E106"/>
          <cell r="F106"/>
          <cell r="G106"/>
          <cell r="H106"/>
          <cell r="I106">
            <v>631.03459013634074</v>
          </cell>
          <cell r="J106">
            <v>1068</v>
          </cell>
          <cell r="K106">
            <v>1260</v>
          </cell>
        </row>
        <row r="107">
          <cell r="D107" t="str">
            <v>2005outubroCAPITAL</v>
          </cell>
          <cell r="E107"/>
          <cell r="F107"/>
          <cell r="G107"/>
          <cell r="H107"/>
        </row>
        <row r="108">
          <cell r="D108" t="str">
            <v>2005outubroOESTE</v>
          </cell>
          <cell r="E108"/>
          <cell r="F108"/>
          <cell r="G108"/>
          <cell r="H108"/>
        </row>
        <row r="109">
          <cell r="D109" t="str">
            <v>2005outubroABC</v>
          </cell>
          <cell r="E109"/>
          <cell r="F109"/>
          <cell r="G109"/>
          <cell r="H109"/>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cell r="F111"/>
          <cell r="G111"/>
          <cell r="H111"/>
          <cell r="I111">
            <v>636</v>
          </cell>
          <cell r="J111">
            <v>7231</v>
          </cell>
          <cell r="K111">
            <v>1215</v>
          </cell>
        </row>
        <row r="112">
          <cell r="D112" t="str">
            <v>2005novembroUnidade Oeste</v>
          </cell>
          <cell r="E112"/>
          <cell r="F112"/>
          <cell r="G112"/>
          <cell r="H112"/>
          <cell r="I112">
            <v>743.82671239401736</v>
          </cell>
          <cell r="J112">
            <v>853</v>
          </cell>
          <cell r="K112">
            <v>1295</v>
          </cell>
        </row>
        <row r="113">
          <cell r="D113" t="str">
            <v>2005novembroUnidade São Paulo Sul</v>
          </cell>
          <cell r="E113"/>
          <cell r="F113"/>
          <cell r="G113"/>
          <cell r="H113"/>
          <cell r="I113">
            <v>591.38001536370621</v>
          </cell>
          <cell r="J113">
            <v>1333</v>
          </cell>
          <cell r="K113">
            <v>1133</v>
          </cell>
        </row>
        <row r="114">
          <cell r="D114" t="str">
            <v>2005novembroUnidade Anhembi</v>
          </cell>
          <cell r="E114"/>
          <cell r="F114"/>
          <cell r="G114"/>
          <cell r="H114"/>
          <cell r="I114">
            <v>559.90277261577342</v>
          </cell>
          <cell r="J114">
            <v>898</v>
          </cell>
          <cell r="K114">
            <v>1335</v>
          </cell>
        </row>
        <row r="115">
          <cell r="D115" t="str">
            <v>2005novembroUnidade Centro</v>
          </cell>
          <cell r="E115"/>
          <cell r="F115"/>
          <cell r="G115"/>
          <cell r="H115"/>
          <cell r="I115">
            <v>1101</v>
          </cell>
          <cell r="J115">
            <v>850</v>
          </cell>
          <cell r="K115">
            <v>1623</v>
          </cell>
        </row>
        <row r="116">
          <cell r="D116" t="str">
            <v>2005novembroUnidade Leste</v>
          </cell>
          <cell r="E116"/>
          <cell r="F116"/>
          <cell r="G116"/>
          <cell r="H116"/>
          <cell r="I116">
            <v>568.82406801831257</v>
          </cell>
          <cell r="J116">
            <v>1968</v>
          </cell>
          <cell r="K116">
            <v>1230</v>
          </cell>
        </row>
        <row r="117">
          <cell r="D117" t="str">
            <v>2005novembroUnidade Grande ABC</v>
          </cell>
          <cell r="E117"/>
          <cell r="F117"/>
          <cell r="G117"/>
          <cell r="H117"/>
          <cell r="I117">
            <v>645.99804443053813</v>
          </cell>
          <cell r="J117">
            <v>1026</v>
          </cell>
          <cell r="K117">
            <v>1323</v>
          </cell>
        </row>
        <row r="118">
          <cell r="D118" t="str">
            <v>2005novembroCAPITAL</v>
          </cell>
          <cell r="E118"/>
          <cell r="F118"/>
          <cell r="G118"/>
          <cell r="H118"/>
        </row>
        <row r="119">
          <cell r="D119" t="str">
            <v>2005novembroOESTE</v>
          </cell>
          <cell r="E119"/>
          <cell r="F119"/>
          <cell r="G119"/>
          <cell r="H119"/>
        </row>
        <row r="120">
          <cell r="D120" t="str">
            <v>2005novembroABC</v>
          </cell>
          <cell r="E120"/>
          <cell r="F120"/>
          <cell r="G120"/>
          <cell r="H120"/>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cell r="F122"/>
          <cell r="G122"/>
          <cell r="H122"/>
          <cell r="I122">
            <v>658</v>
          </cell>
          <cell r="J122">
            <v>6980</v>
          </cell>
          <cell r="K122">
            <v>1236</v>
          </cell>
        </row>
        <row r="123">
          <cell r="D123" t="str">
            <v>2005dezembroUnidade Oeste</v>
          </cell>
          <cell r="E123"/>
          <cell r="F123"/>
          <cell r="G123"/>
          <cell r="H123"/>
          <cell r="I123">
            <v>751.20545774647883</v>
          </cell>
          <cell r="J123">
            <v>850</v>
          </cell>
          <cell r="K123">
            <v>1300</v>
          </cell>
        </row>
        <row r="124">
          <cell r="D124" t="str">
            <v>2005dezembroUnidade São Paulo Sul</v>
          </cell>
          <cell r="E124"/>
          <cell r="F124"/>
          <cell r="G124"/>
          <cell r="H124"/>
          <cell r="I124">
            <v>612.83947501261991</v>
          </cell>
          <cell r="J124">
            <v>1300</v>
          </cell>
          <cell r="K124">
            <v>1165</v>
          </cell>
        </row>
        <row r="125">
          <cell r="D125" t="str">
            <v>2005dezembroUnidade Anhembi</v>
          </cell>
          <cell r="E125"/>
          <cell r="F125"/>
          <cell r="G125"/>
          <cell r="H125"/>
          <cell r="I125">
            <v>599.89541578602143</v>
          </cell>
          <cell r="J125">
            <v>850</v>
          </cell>
          <cell r="K125">
            <v>1356</v>
          </cell>
        </row>
        <row r="126">
          <cell r="D126" t="str">
            <v>2005dezembroUnidade Centro</v>
          </cell>
          <cell r="E126"/>
          <cell r="F126"/>
          <cell r="G126"/>
          <cell r="H126"/>
          <cell r="I126">
            <v>1146</v>
          </cell>
          <cell r="J126">
            <v>850</v>
          </cell>
          <cell r="K126">
            <v>1619</v>
          </cell>
        </row>
        <row r="127">
          <cell r="D127" t="str">
            <v>2005dezembroUnidade Leste</v>
          </cell>
          <cell r="E127"/>
          <cell r="F127"/>
          <cell r="G127"/>
          <cell r="H127"/>
          <cell r="I127">
            <v>583.15491054980146</v>
          </cell>
          <cell r="J127">
            <v>1900</v>
          </cell>
          <cell r="K127">
            <v>1260</v>
          </cell>
        </row>
        <row r="128">
          <cell r="D128" t="str">
            <v>2005dezembroUnidade Grande ABC</v>
          </cell>
          <cell r="E128"/>
          <cell r="F128"/>
          <cell r="G128"/>
          <cell r="H128"/>
          <cell r="I128">
            <v>659.9827308649202</v>
          </cell>
          <cell r="J128">
            <v>986</v>
          </cell>
          <cell r="K128">
            <v>1389</v>
          </cell>
        </row>
        <row r="129">
          <cell r="D129" t="str">
            <v>2005dezembroCAPITAL</v>
          </cell>
          <cell r="E129"/>
          <cell r="F129"/>
          <cell r="G129"/>
          <cell r="H129"/>
        </row>
        <row r="130">
          <cell r="D130" t="str">
            <v>2005dezembroOESTE</v>
          </cell>
          <cell r="E130"/>
          <cell r="F130"/>
          <cell r="G130"/>
          <cell r="H130"/>
        </row>
        <row r="131">
          <cell r="D131" t="str">
            <v>2005dezembroABC</v>
          </cell>
          <cell r="E131"/>
          <cell r="F131"/>
          <cell r="G131"/>
          <cell r="H131"/>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cell r="F133"/>
          <cell r="G133"/>
          <cell r="H133"/>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cell r="F3"/>
          <cell r="G3"/>
          <cell r="H3"/>
          <cell r="I3"/>
          <cell r="J3"/>
          <cell r="K3"/>
          <cell r="L3"/>
          <cell r="M3"/>
          <cell r="N3"/>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cell r="F5"/>
          <cell r="G5"/>
          <cell r="H5"/>
          <cell r="I5"/>
          <cell r="J5"/>
          <cell r="K5"/>
          <cell r="L5"/>
          <cell r="M5"/>
          <cell r="N5"/>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cell r="F7"/>
          <cell r="G7"/>
          <cell r="H7"/>
          <cell r="I7"/>
          <cell r="J7"/>
          <cell r="K7"/>
          <cell r="L7"/>
          <cell r="M7"/>
          <cell r="N7"/>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cell r="F9"/>
          <cell r="G9"/>
          <cell r="H9"/>
          <cell r="I9"/>
          <cell r="J9"/>
          <cell r="K9"/>
          <cell r="L9"/>
          <cell r="M9"/>
          <cell r="N9"/>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cell r="F11"/>
          <cell r="G11"/>
          <cell r="H11"/>
          <cell r="I11"/>
          <cell r="J11"/>
          <cell r="K11"/>
          <cell r="L11"/>
          <cell r="M11"/>
          <cell r="N11"/>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cell r="F13"/>
          <cell r="G13"/>
          <cell r="H13"/>
          <cell r="I13"/>
          <cell r="J13"/>
          <cell r="K13"/>
          <cell r="L13"/>
          <cell r="M13"/>
          <cell r="N13"/>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cell r="F19"/>
          <cell r="G19"/>
          <cell r="H19"/>
          <cell r="I19"/>
          <cell r="J19"/>
          <cell r="K19"/>
          <cell r="L19"/>
          <cell r="M19"/>
          <cell r="N19"/>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cell r="F21"/>
          <cell r="G21"/>
          <cell r="H21"/>
          <cell r="I21"/>
          <cell r="J21"/>
          <cell r="K21"/>
          <cell r="L21"/>
          <cell r="M21"/>
          <cell r="N21"/>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cell r="F23"/>
          <cell r="G23"/>
          <cell r="H23"/>
          <cell r="I23"/>
          <cell r="J23"/>
          <cell r="K23"/>
          <cell r="L23"/>
          <cell r="M23"/>
          <cell r="N23"/>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cell r="F25"/>
          <cell r="G25"/>
          <cell r="H25"/>
          <cell r="I25"/>
          <cell r="J25"/>
          <cell r="K25"/>
          <cell r="L25"/>
          <cell r="M25"/>
          <cell r="N25"/>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cell r="F27"/>
          <cell r="G27"/>
          <cell r="H27"/>
          <cell r="I27"/>
          <cell r="J27"/>
          <cell r="K27"/>
          <cell r="L27"/>
          <cell r="M27"/>
          <cell r="N27"/>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cell r="F29"/>
          <cell r="G29"/>
          <cell r="H29"/>
          <cell r="I29"/>
          <cell r="J29"/>
          <cell r="K29"/>
          <cell r="L29"/>
          <cell r="M29"/>
          <cell r="N29"/>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cell r="F34"/>
          <cell r="G34"/>
          <cell r="H34"/>
          <cell r="I34"/>
          <cell r="J34"/>
          <cell r="K34"/>
          <cell r="L34"/>
          <cell r="M34"/>
          <cell r="N34"/>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cell r="F36"/>
          <cell r="G36"/>
          <cell r="H36"/>
          <cell r="I36"/>
          <cell r="J36"/>
          <cell r="K36"/>
          <cell r="L36"/>
          <cell r="M36"/>
          <cell r="N36"/>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cell r="F38"/>
          <cell r="G38"/>
          <cell r="H38"/>
          <cell r="I38"/>
          <cell r="J38"/>
          <cell r="K38"/>
          <cell r="L38"/>
          <cell r="M38"/>
          <cell r="N38"/>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cell r="F40"/>
          <cell r="G40"/>
          <cell r="H40"/>
          <cell r="I40"/>
          <cell r="J40"/>
          <cell r="K40"/>
          <cell r="L40"/>
          <cell r="M40"/>
          <cell r="N40"/>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cell r="F42"/>
          <cell r="G42"/>
          <cell r="H42"/>
          <cell r="I42"/>
          <cell r="J42"/>
          <cell r="K42"/>
          <cell r="L42"/>
          <cell r="M42"/>
          <cell r="N42"/>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cell r="F44"/>
          <cell r="G44"/>
          <cell r="H44"/>
          <cell r="I44"/>
          <cell r="J44"/>
          <cell r="K44"/>
          <cell r="L44"/>
          <cell r="M44"/>
          <cell r="N44"/>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cell r="F50"/>
          <cell r="G50"/>
          <cell r="H50"/>
          <cell r="I50"/>
          <cell r="J50"/>
          <cell r="K50"/>
          <cell r="L50"/>
          <cell r="M50"/>
          <cell r="N50"/>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cell r="F52"/>
          <cell r="G52"/>
          <cell r="H52"/>
          <cell r="I52"/>
          <cell r="J52"/>
          <cell r="K52"/>
          <cell r="L52"/>
          <cell r="M52"/>
          <cell r="N52"/>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cell r="F54"/>
          <cell r="G54"/>
          <cell r="H54"/>
          <cell r="I54"/>
          <cell r="J54"/>
          <cell r="K54"/>
          <cell r="L54"/>
          <cell r="M54"/>
          <cell r="N54"/>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cell r="F56"/>
          <cell r="G56"/>
          <cell r="H56"/>
          <cell r="I56"/>
          <cell r="J56"/>
          <cell r="K56"/>
          <cell r="L56"/>
          <cell r="M56"/>
          <cell r="N56"/>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cell r="F58"/>
          <cell r="G58"/>
          <cell r="H58"/>
          <cell r="I58"/>
          <cell r="J58"/>
          <cell r="K58"/>
          <cell r="L58"/>
          <cell r="M58"/>
          <cell r="N58"/>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cell r="F60"/>
          <cell r="G60"/>
          <cell r="H60"/>
          <cell r="I60"/>
          <cell r="J60"/>
          <cell r="K60"/>
          <cell r="L60"/>
          <cell r="M60"/>
          <cell r="N60"/>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cell r="F65"/>
          <cell r="G65"/>
          <cell r="H65"/>
          <cell r="I65"/>
          <cell r="J65"/>
          <cell r="K65"/>
          <cell r="L65"/>
          <cell r="M65"/>
          <cell r="N65"/>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cell r="F67"/>
          <cell r="G67"/>
          <cell r="H67"/>
          <cell r="I67"/>
          <cell r="J67"/>
          <cell r="K67"/>
          <cell r="L67"/>
          <cell r="M67"/>
          <cell r="N67"/>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cell r="F69"/>
          <cell r="G69"/>
          <cell r="H69"/>
          <cell r="I69"/>
          <cell r="J69"/>
          <cell r="K69"/>
          <cell r="L69"/>
          <cell r="M69"/>
          <cell r="N69"/>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cell r="F71"/>
          <cell r="G71"/>
          <cell r="H71"/>
          <cell r="I71"/>
          <cell r="J71"/>
          <cell r="K71"/>
          <cell r="L71"/>
          <cell r="M71"/>
          <cell r="N71"/>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cell r="F73"/>
          <cell r="G73"/>
          <cell r="H73"/>
          <cell r="I73"/>
          <cell r="J73"/>
          <cell r="K73"/>
          <cell r="L73"/>
          <cell r="M73"/>
          <cell r="N73"/>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cell r="F75"/>
          <cell r="G75"/>
          <cell r="H75"/>
          <cell r="I75"/>
          <cell r="J75"/>
          <cell r="K75"/>
          <cell r="L75"/>
          <cell r="M75"/>
          <cell r="N75"/>
          <cell r="O75">
            <v>252.14499999999998</v>
          </cell>
        </row>
        <row r="79">
          <cell r="C79"/>
          <cell r="D79"/>
          <cell r="E79"/>
          <cell r="F79"/>
          <cell r="G79"/>
          <cell r="H79"/>
          <cell r="I79"/>
          <cell r="J79"/>
          <cell r="K79"/>
          <cell r="L79"/>
          <cell r="M79"/>
          <cell r="N79"/>
          <cell r="O79"/>
        </row>
        <row r="80">
          <cell r="C80">
            <v>836</v>
          </cell>
          <cell r="D80">
            <v>575</v>
          </cell>
          <cell r="E80"/>
          <cell r="F80"/>
          <cell r="G80"/>
          <cell r="H80"/>
          <cell r="I80"/>
          <cell r="J80"/>
          <cell r="K80"/>
          <cell r="L80"/>
          <cell r="M80"/>
          <cell r="N80"/>
          <cell r="O80">
            <v>1411</v>
          </cell>
        </row>
        <row r="81">
          <cell r="C81"/>
          <cell r="D81"/>
          <cell r="E81"/>
          <cell r="F81"/>
          <cell r="G81"/>
          <cell r="H81"/>
          <cell r="I81"/>
          <cell r="J81"/>
          <cell r="K81"/>
          <cell r="L81"/>
          <cell r="M81"/>
          <cell r="N81"/>
          <cell r="O81"/>
        </row>
        <row r="82">
          <cell r="C82">
            <v>421</v>
          </cell>
          <cell r="D82">
            <v>486</v>
          </cell>
          <cell r="E82"/>
          <cell r="F82"/>
          <cell r="G82"/>
          <cell r="H82"/>
          <cell r="I82"/>
          <cell r="J82"/>
          <cell r="K82"/>
          <cell r="L82"/>
          <cell r="M82"/>
          <cell r="N82"/>
          <cell r="O82">
            <v>907</v>
          </cell>
        </row>
        <row r="83">
          <cell r="C83"/>
          <cell r="D83"/>
          <cell r="E83"/>
          <cell r="F83"/>
          <cell r="G83"/>
          <cell r="H83"/>
          <cell r="I83"/>
          <cell r="J83"/>
          <cell r="K83"/>
          <cell r="L83"/>
          <cell r="M83"/>
          <cell r="N83"/>
          <cell r="O83"/>
        </row>
        <row r="84">
          <cell r="C84">
            <v>865</v>
          </cell>
          <cell r="D84">
            <v>775</v>
          </cell>
          <cell r="E84"/>
          <cell r="F84"/>
          <cell r="G84"/>
          <cell r="H84"/>
          <cell r="I84"/>
          <cell r="J84"/>
          <cell r="K84"/>
          <cell r="L84"/>
          <cell r="M84"/>
          <cell r="N84"/>
          <cell r="O84">
            <v>1640</v>
          </cell>
        </row>
        <row r="85">
          <cell r="C85"/>
          <cell r="D85"/>
          <cell r="E85"/>
          <cell r="F85"/>
          <cell r="G85"/>
          <cell r="H85"/>
          <cell r="I85"/>
          <cell r="J85"/>
          <cell r="K85"/>
          <cell r="L85"/>
          <cell r="M85"/>
          <cell r="N85"/>
          <cell r="O85"/>
        </row>
        <row r="86">
          <cell r="C86">
            <v>372</v>
          </cell>
          <cell r="D86">
            <v>587</v>
          </cell>
          <cell r="E86"/>
          <cell r="F86"/>
          <cell r="G86"/>
          <cell r="H86"/>
          <cell r="I86"/>
          <cell r="J86"/>
          <cell r="K86"/>
          <cell r="L86"/>
          <cell r="M86"/>
          <cell r="N86"/>
          <cell r="O86">
            <v>959</v>
          </cell>
        </row>
        <row r="87">
          <cell r="C87"/>
          <cell r="D87"/>
          <cell r="E87"/>
          <cell r="F87"/>
          <cell r="G87"/>
          <cell r="H87"/>
          <cell r="I87"/>
          <cell r="J87"/>
          <cell r="K87"/>
          <cell r="L87"/>
          <cell r="M87"/>
          <cell r="N87"/>
          <cell r="O87"/>
        </row>
        <row r="88">
          <cell r="C88">
            <v>96</v>
          </cell>
          <cell r="D88">
            <v>816</v>
          </cell>
          <cell r="E88"/>
          <cell r="F88"/>
          <cell r="G88"/>
          <cell r="H88"/>
          <cell r="I88"/>
          <cell r="J88"/>
          <cell r="K88"/>
          <cell r="L88"/>
          <cell r="M88"/>
          <cell r="N88"/>
          <cell r="O88">
            <v>912</v>
          </cell>
        </row>
        <row r="89">
          <cell r="C89"/>
          <cell r="D89"/>
          <cell r="E89"/>
          <cell r="F89"/>
          <cell r="G89"/>
          <cell r="H89"/>
          <cell r="I89"/>
          <cell r="J89"/>
          <cell r="K89"/>
          <cell r="L89"/>
          <cell r="M89"/>
          <cell r="N89"/>
          <cell r="O89">
            <v>72000</v>
          </cell>
        </row>
        <row r="90">
          <cell r="C90">
            <v>2533</v>
          </cell>
          <cell r="D90">
            <v>3239</v>
          </cell>
          <cell r="E90"/>
          <cell r="F90"/>
          <cell r="G90"/>
          <cell r="H90"/>
          <cell r="I90"/>
          <cell r="J90"/>
          <cell r="K90"/>
          <cell r="L90"/>
          <cell r="M90"/>
          <cell r="N90"/>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cell r="F95"/>
          <cell r="G95"/>
          <cell r="H95"/>
          <cell r="I95"/>
          <cell r="J95"/>
          <cell r="K95"/>
          <cell r="L95"/>
          <cell r="M95"/>
          <cell r="N95"/>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cell r="F97"/>
          <cell r="G97"/>
          <cell r="H97"/>
          <cell r="I97"/>
          <cell r="J97"/>
          <cell r="K97"/>
          <cell r="L97"/>
          <cell r="M97"/>
          <cell r="N97"/>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cell r="F99"/>
          <cell r="G99"/>
          <cell r="H99"/>
          <cell r="I99"/>
          <cell r="J99"/>
          <cell r="K99"/>
          <cell r="L99"/>
          <cell r="M99"/>
          <cell r="N99"/>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cell r="F101"/>
          <cell r="G101"/>
          <cell r="H101"/>
          <cell r="I101"/>
          <cell r="J101"/>
          <cell r="K101"/>
          <cell r="L101"/>
          <cell r="M101"/>
          <cell r="N101"/>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cell r="F103"/>
          <cell r="G103"/>
          <cell r="H103"/>
          <cell r="I103"/>
          <cell r="J103"/>
          <cell r="K103"/>
          <cell r="L103"/>
          <cell r="M103"/>
          <cell r="N103"/>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cell r="F105"/>
          <cell r="G105"/>
          <cell r="H105"/>
          <cell r="I105"/>
          <cell r="J105"/>
          <cell r="K105"/>
          <cell r="L105"/>
          <cell r="M105"/>
          <cell r="N105"/>
          <cell r="O105">
            <v>8192</v>
          </cell>
        </row>
        <row r="117">
          <cell r="C117">
            <v>683.86009099999944</v>
          </cell>
          <cell r="D117">
            <v>646.36900333333222</v>
          </cell>
          <cell r="E117"/>
          <cell r="F117"/>
          <cell r="G117"/>
          <cell r="H117"/>
          <cell r="I117"/>
          <cell r="J117"/>
          <cell r="K117"/>
          <cell r="L117"/>
          <cell r="M117"/>
          <cell r="N117"/>
          <cell r="O117"/>
        </row>
        <row r="118">
          <cell r="C118">
            <v>2281</v>
          </cell>
          <cell r="D118">
            <v>2423</v>
          </cell>
          <cell r="E118"/>
          <cell r="F118"/>
          <cell r="G118"/>
          <cell r="H118"/>
          <cell r="I118"/>
          <cell r="J118"/>
          <cell r="K118"/>
          <cell r="L118"/>
          <cell r="M118"/>
          <cell r="N118"/>
          <cell r="O118"/>
        </row>
        <row r="119">
          <cell r="C119">
            <v>0.2</v>
          </cell>
          <cell r="D119">
            <v>0.14000000000000001</v>
          </cell>
          <cell r="E119"/>
          <cell r="F119"/>
          <cell r="G119"/>
          <cell r="H119"/>
          <cell r="I119"/>
          <cell r="J119"/>
          <cell r="K119"/>
          <cell r="L119"/>
          <cell r="M119"/>
          <cell r="N119"/>
          <cell r="O119"/>
        </row>
        <row r="120">
          <cell r="C120">
            <v>8.1299999999999997E-2</v>
          </cell>
          <cell r="D120"/>
          <cell r="E120"/>
          <cell r="F120"/>
          <cell r="G120"/>
          <cell r="H120"/>
          <cell r="I120"/>
          <cell r="J120"/>
          <cell r="K120"/>
          <cell r="L120"/>
          <cell r="M120"/>
          <cell r="N120"/>
          <cell r="O120"/>
        </row>
        <row r="121">
          <cell r="C121">
            <v>1151.6461674999971</v>
          </cell>
          <cell r="D121">
            <v>1102.9501888333293</v>
          </cell>
          <cell r="E121"/>
          <cell r="F121"/>
          <cell r="G121"/>
          <cell r="H121"/>
          <cell r="I121"/>
          <cell r="J121"/>
          <cell r="K121"/>
          <cell r="L121"/>
          <cell r="M121"/>
          <cell r="N121"/>
          <cell r="O121"/>
        </row>
        <row r="122">
          <cell r="C122">
            <v>5938</v>
          </cell>
          <cell r="D122">
            <v>5680</v>
          </cell>
          <cell r="E122"/>
          <cell r="F122"/>
          <cell r="G122"/>
          <cell r="H122"/>
          <cell r="I122"/>
          <cell r="J122"/>
          <cell r="K122"/>
          <cell r="L122"/>
          <cell r="M122"/>
          <cell r="N122"/>
          <cell r="O122"/>
        </row>
        <row r="123">
          <cell r="C123">
            <v>0.23</v>
          </cell>
          <cell r="D123">
            <v>0.23</v>
          </cell>
          <cell r="E123"/>
          <cell r="F123"/>
          <cell r="G123"/>
          <cell r="H123"/>
          <cell r="I123"/>
          <cell r="J123"/>
          <cell r="K123"/>
          <cell r="L123"/>
          <cell r="M123"/>
          <cell r="N123"/>
          <cell r="O123"/>
        </row>
        <row r="124">
          <cell r="C124">
            <v>8.4199999999999997E-2</v>
          </cell>
          <cell r="D124"/>
          <cell r="E124"/>
          <cell r="F124"/>
          <cell r="G124"/>
          <cell r="H124"/>
          <cell r="I124"/>
          <cell r="J124"/>
          <cell r="K124"/>
          <cell r="L124"/>
          <cell r="M124"/>
          <cell r="N124"/>
          <cell r="O124"/>
        </row>
        <row r="125">
          <cell r="C125">
            <v>1490.2284119999983</v>
          </cell>
          <cell r="D125">
            <v>1383.6864216666656</v>
          </cell>
          <cell r="E125"/>
          <cell r="F125"/>
          <cell r="G125"/>
          <cell r="H125"/>
          <cell r="I125"/>
          <cell r="J125"/>
          <cell r="K125"/>
          <cell r="L125"/>
          <cell r="M125"/>
          <cell r="N125"/>
          <cell r="O125"/>
        </row>
        <row r="126">
          <cell r="C126">
            <v>8512</v>
          </cell>
          <cell r="D126">
            <v>6576</v>
          </cell>
          <cell r="E126"/>
          <cell r="F126"/>
          <cell r="G126"/>
          <cell r="H126"/>
          <cell r="I126"/>
          <cell r="J126"/>
          <cell r="K126"/>
          <cell r="L126"/>
          <cell r="M126"/>
          <cell r="N126"/>
          <cell r="O126"/>
        </row>
        <row r="127">
          <cell r="C127">
            <v>0.14000000000000001</v>
          </cell>
          <cell r="D127">
            <v>0.15</v>
          </cell>
          <cell r="E127"/>
          <cell r="F127"/>
          <cell r="G127"/>
          <cell r="H127"/>
          <cell r="I127"/>
          <cell r="J127"/>
          <cell r="K127"/>
          <cell r="L127"/>
          <cell r="M127"/>
          <cell r="N127"/>
          <cell r="O127"/>
        </row>
        <row r="128">
          <cell r="C128">
            <v>4.4699999999999997E-2</v>
          </cell>
          <cell r="D128"/>
          <cell r="E128"/>
          <cell r="F128"/>
          <cell r="G128"/>
          <cell r="H128"/>
          <cell r="I128"/>
          <cell r="J128"/>
          <cell r="K128"/>
          <cell r="L128"/>
          <cell r="M128"/>
          <cell r="N128"/>
          <cell r="O128"/>
        </row>
        <row r="129">
          <cell r="C129">
            <v>918.94449249999661</v>
          </cell>
          <cell r="D129">
            <v>801.74467033333121</v>
          </cell>
          <cell r="E129"/>
          <cell r="F129"/>
          <cell r="G129"/>
          <cell r="H129"/>
          <cell r="I129"/>
          <cell r="J129"/>
          <cell r="K129"/>
          <cell r="L129"/>
          <cell r="M129"/>
          <cell r="N129"/>
          <cell r="O129"/>
        </row>
        <row r="130">
          <cell r="C130">
            <v>3000</v>
          </cell>
          <cell r="D130">
            <v>4336</v>
          </cell>
          <cell r="E130"/>
          <cell r="F130"/>
          <cell r="G130"/>
          <cell r="H130"/>
          <cell r="I130"/>
          <cell r="J130"/>
          <cell r="K130"/>
          <cell r="L130"/>
          <cell r="M130"/>
          <cell r="N130"/>
          <cell r="O130"/>
        </row>
        <row r="131">
          <cell r="C131">
            <v>0.13</v>
          </cell>
          <cell r="D131">
            <v>0.11</v>
          </cell>
          <cell r="E131"/>
          <cell r="F131"/>
          <cell r="G131"/>
          <cell r="H131"/>
          <cell r="I131"/>
          <cell r="J131"/>
          <cell r="K131"/>
          <cell r="L131"/>
          <cell r="M131"/>
          <cell r="N131"/>
          <cell r="O131"/>
        </row>
        <row r="132">
          <cell r="D132"/>
          <cell r="E132"/>
          <cell r="F132"/>
          <cell r="G132"/>
          <cell r="H132"/>
          <cell r="I132"/>
          <cell r="J132"/>
          <cell r="K132"/>
          <cell r="L132"/>
          <cell r="M132"/>
          <cell r="N132"/>
          <cell r="O132"/>
        </row>
        <row r="133">
          <cell r="C133">
            <v>1078.4008294999978</v>
          </cell>
          <cell r="D133">
            <v>1012.2786753333297</v>
          </cell>
          <cell r="E133"/>
          <cell r="F133"/>
          <cell r="G133"/>
          <cell r="H133"/>
          <cell r="I133"/>
          <cell r="J133"/>
          <cell r="K133"/>
          <cell r="L133"/>
          <cell r="M133"/>
          <cell r="N133"/>
          <cell r="O133"/>
        </row>
        <row r="134">
          <cell r="C134">
            <v>7902</v>
          </cell>
          <cell r="D134">
            <v>3575</v>
          </cell>
          <cell r="E134"/>
          <cell r="F134"/>
          <cell r="G134"/>
          <cell r="H134"/>
          <cell r="I134"/>
          <cell r="J134"/>
          <cell r="K134"/>
          <cell r="L134"/>
          <cell r="M134"/>
          <cell r="N134"/>
          <cell r="O134"/>
        </row>
        <row r="135">
          <cell r="C135">
            <v>0.11</v>
          </cell>
          <cell r="D135">
            <v>0.17</v>
          </cell>
          <cell r="E135"/>
          <cell r="F135"/>
          <cell r="G135"/>
          <cell r="H135"/>
          <cell r="I135"/>
          <cell r="J135"/>
          <cell r="K135"/>
          <cell r="L135"/>
          <cell r="M135"/>
          <cell r="N135"/>
          <cell r="O135"/>
        </row>
        <row r="136">
          <cell r="C136">
            <v>0.113</v>
          </cell>
          <cell r="D136"/>
          <cell r="E136"/>
          <cell r="F136"/>
          <cell r="G136"/>
          <cell r="H136"/>
          <cell r="I136"/>
          <cell r="J136"/>
          <cell r="K136"/>
          <cell r="L136"/>
          <cell r="M136"/>
          <cell r="N136"/>
          <cell r="O136"/>
        </row>
        <row r="137">
          <cell r="C137">
            <v>5323.0799924999892</v>
          </cell>
          <cell r="D137">
            <v>4947.0289594999876</v>
          </cell>
          <cell r="E137"/>
          <cell r="F137"/>
          <cell r="G137"/>
          <cell r="H137"/>
          <cell r="I137"/>
          <cell r="J137"/>
          <cell r="K137"/>
          <cell r="L137"/>
          <cell r="M137"/>
          <cell r="N137"/>
          <cell r="O137"/>
        </row>
        <row r="138">
          <cell r="C138">
            <v>27633</v>
          </cell>
          <cell r="D138">
            <v>22490</v>
          </cell>
          <cell r="E138"/>
          <cell r="F138"/>
          <cell r="G138"/>
          <cell r="H138"/>
          <cell r="I138"/>
          <cell r="J138"/>
          <cell r="K138"/>
          <cell r="L138"/>
          <cell r="M138"/>
          <cell r="N138"/>
          <cell r="O138"/>
        </row>
        <row r="139">
          <cell r="C139">
            <v>0.17</v>
          </cell>
          <cell r="D139">
            <v>0.18</v>
          </cell>
          <cell r="E139"/>
          <cell r="F139"/>
          <cell r="G139"/>
          <cell r="H139"/>
          <cell r="I139"/>
          <cell r="J139"/>
          <cell r="K139"/>
          <cell r="L139"/>
          <cell r="M139"/>
          <cell r="N139"/>
          <cell r="O139"/>
        </row>
        <row r="140">
          <cell r="C140">
            <v>6.7799999999999999E-2</v>
          </cell>
          <cell r="D140"/>
          <cell r="E140"/>
          <cell r="F140"/>
          <cell r="G140"/>
          <cell r="H140"/>
          <cell r="I140"/>
          <cell r="J140"/>
          <cell r="K140"/>
          <cell r="L140"/>
          <cell r="M140"/>
          <cell r="N140"/>
          <cell r="O140"/>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6">
          <cell r="C66">
            <v>27</v>
          </cell>
          <cell r="D66">
            <v>27</v>
          </cell>
          <cell r="E66"/>
          <cell r="F66"/>
          <cell r="G66"/>
          <cell r="H66"/>
          <cell r="I66"/>
          <cell r="J66"/>
          <cell r="K66"/>
          <cell r="L66"/>
          <cell r="M66"/>
          <cell r="N66"/>
          <cell r="O66"/>
        </row>
        <row r="67">
          <cell r="C67">
            <v>24.61</v>
          </cell>
          <cell r="D67">
            <v>24.19</v>
          </cell>
          <cell r="E67"/>
          <cell r="F67"/>
          <cell r="G67"/>
          <cell r="H67"/>
          <cell r="I67"/>
          <cell r="J67"/>
          <cell r="K67"/>
          <cell r="L67"/>
          <cell r="M67"/>
          <cell r="N67"/>
          <cell r="O67"/>
        </row>
        <row r="68">
          <cell r="C68"/>
          <cell r="D68"/>
          <cell r="E68"/>
          <cell r="F68"/>
          <cell r="G68"/>
          <cell r="H68"/>
          <cell r="I68"/>
          <cell r="J68"/>
          <cell r="K68"/>
          <cell r="L68"/>
          <cell r="M68"/>
          <cell r="N68"/>
          <cell r="O68"/>
        </row>
        <row r="69">
          <cell r="C69">
            <v>256.29000000000002</v>
          </cell>
          <cell r="D69">
            <v>233.93</v>
          </cell>
          <cell r="E69"/>
          <cell r="F69"/>
          <cell r="G69"/>
          <cell r="H69"/>
          <cell r="I69"/>
          <cell r="J69"/>
          <cell r="K69"/>
          <cell r="L69"/>
          <cell r="M69"/>
          <cell r="N69"/>
          <cell r="O69"/>
        </row>
        <row r="75">
          <cell r="C75">
            <v>1.0592679774165494</v>
          </cell>
          <cell r="D75">
            <v>0.83040161591723582</v>
          </cell>
          <cell r="E75"/>
          <cell r="F75"/>
          <cell r="G75"/>
          <cell r="H75"/>
          <cell r="I75"/>
          <cell r="J75"/>
          <cell r="K75"/>
          <cell r="L75"/>
          <cell r="M75"/>
          <cell r="N75"/>
        </row>
        <row r="76">
          <cell r="C76">
            <v>1.1542987906229212</v>
          </cell>
          <cell r="D76">
            <v>0.86843878650731265</v>
          </cell>
          <cell r="E76"/>
          <cell r="F76"/>
          <cell r="G76"/>
          <cell r="H76"/>
          <cell r="I76"/>
          <cell r="J76"/>
          <cell r="K76"/>
          <cell r="L76"/>
          <cell r="M76"/>
          <cell r="N76"/>
        </row>
        <row r="77">
          <cell r="C77">
            <v>1.1358334110619621</v>
          </cell>
          <cell r="D77">
            <v>0.89025244750095267</v>
          </cell>
          <cell r="E77"/>
          <cell r="F77"/>
          <cell r="G77"/>
          <cell r="H77"/>
          <cell r="I77"/>
          <cell r="J77"/>
          <cell r="K77"/>
          <cell r="L77"/>
          <cell r="M77"/>
          <cell r="N77"/>
        </row>
        <row r="78">
          <cell r="C78">
            <v>1.1194665242167188</v>
          </cell>
          <cell r="D78">
            <v>0.93605637994907054</v>
          </cell>
          <cell r="E78"/>
          <cell r="F78"/>
          <cell r="G78"/>
          <cell r="H78"/>
          <cell r="I78"/>
          <cell r="J78"/>
          <cell r="K78"/>
          <cell r="L78"/>
          <cell r="M78"/>
          <cell r="N78"/>
        </row>
        <row r="79">
          <cell r="C79">
            <v>1.0695669008338518</v>
          </cell>
          <cell r="D79">
            <v>0.79456692590412037</v>
          </cell>
          <cell r="E79"/>
          <cell r="F79"/>
          <cell r="G79"/>
          <cell r="H79"/>
          <cell r="I79"/>
          <cell r="J79"/>
          <cell r="K79"/>
          <cell r="L79"/>
          <cell r="M79"/>
          <cell r="N79"/>
        </row>
        <row r="80">
          <cell r="C80">
            <v>1.0668943742695343</v>
          </cell>
          <cell r="D80">
            <v>0.99319877338540419</v>
          </cell>
          <cell r="E80"/>
          <cell r="F80"/>
          <cell r="G80"/>
          <cell r="H80"/>
          <cell r="I80"/>
          <cell r="J80"/>
          <cell r="K80"/>
          <cell r="L80"/>
          <cell r="M80"/>
          <cell r="N80"/>
        </row>
        <row r="81">
          <cell r="C81">
            <v>1.1393482703908233</v>
          </cell>
          <cell r="D81">
            <v>0.94455282487921899</v>
          </cell>
          <cell r="E81"/>
          <cell r="F81"/>
          <cell r="G81"/>
          <cell r="H81"/>
          <cell r="I81"/>
          <cell r="J81"/>
          <cell r="K81"/>
          <cell r="L81"/>
          <cell r="M81"/>
          <cell r="N81"/>
        </row>
        <row r="82">
          <cell r="C82">
            <v>1.1347312125618836</v>
          </cell>
          <cell r="D82">
            <v>0.95241438563251579</v>
          </cell>
          <cell r="E82"/>
          <cell r="F82"/>
          <cell r="G82"/>
          <cell r="H82"/>
          <cell r="I82"/>
          <cell r="J82"/>
          <cell r="K82"/>
          <cell r="L82"/>
          <cell r="M82"/>
          <cell r="N82"/>
        </row>
        <row r="83">
          <cell r="C83">
            <v>1.0715019190427282</v>
          </cell>
          <cell r="D83">
            <v>0.88801105887009535</v>
          </cell>
          <cell r="E83"/>
          <cell r="F83"/>
          <cell r="G83"/>
          <cell r="H83"/>
          <cell r="I83"/>
          <cell r="J83"/>
          <cell r="K83"/>
          <cell r="L83"/>
          <cell r="M83"/>
          <cell r="N83"/>
        </row>
        <row r="84">
          <cell r="C84">
            <v>1.0850730591050242</v>
          </cell>
          <cell r="D84">
            <v>0.90411811547659016</v>
          </cell>
          <cell r="E84"/>
          <cell r="F84"/>
          <cell r="G84"/>
          <cell r="H84"/>
          <cell r="I84"/>
          <cell r="J84"/>
          <cell r="K84"/>
          <cell r="L84"/>
          <cell r="M84"/>
          <cell r="N84"/>
        </row>
        <row r="85">
          <cell r="C85">
            <v>1.176349284569786</v>
          </cell>
          <cell r="D85">
            <v>0.89480758839187802</v>
          </cell>
          <cell r="E85"/>
          <cell r="F85"/>
          <cell r="G85"/>
          <cell r="H85"/>
          <cell r="I85"/>
          <cell r="J85"/>
          <cell r="K85"/>
          <cell r="L85"/>
          <cell r="M85"/>
          <cell r="N85"/>
        </row>
        <row r="86">
          <cell r="C86">
            <v>1.1316268955957027</v>
          </cell>
          <cell r="D86">
            <v>0.83821354134758252</v>
          </cell>
          <cell r="E86"/>
          <cell r="F86"/>
          <cell r="G86"/>
          <cell r="H86"/>
          <cell r="I86"/>
          <cell r="J86"/>
          <cell r="K86"/>
          <cell r="L86"/>
          <cell r="M86"/>
          <cell r="N86"/>
        </row>
        <row r="87">
          <cell r="C87">
            <v>1.1359454604796591</v>
          </cell>
          <cell r="D87">
            <v>0.89376209875906643</v>
          </cell>
          <cell r="E87"/>
          <cell r="F87"/>
          <cell r="G87"/>
          <cell r="H87"/>
          <cell r="I87"/>
          <cell r="J87"/>
          <cell r="K87"/>
          <cell r="L87"/>
          <cell r="M87"/>
          <cell r="N87"/>
        </row>
        <row r="88">
          <cell r="C88">
            <v>1.1185324818629019</v>
          </cell>
          <cell r="D88">
            <v>0.92394172534273478</v>
          </cell>
          <cell r="E88"/>
          <cell r="F88"/>
          <cell r="G88"/>
          <cell r="H88"/>
          <cell r="I88"/>
          <cell r="J88"/>
          <cell r="K88"/>
          <cell r="L88"/>
          <cell r="M88"/>
          <cell r="N88"/>
        </row>
        <row r="89">
          <cell r="C89">
            <v>1.0811034559067754</v>
          </cell>
          <cell r="D89">
            <v>0.86862019282362446</v>
          </cell>
          <cell r="E89"/>
          <cell r="F89"/>
          <cell r="G89"/>
          <cell r="H89"/>
          <cell r="I89"/>
          <cell r="J89"/>
          <cell r="K89"/>
          <cell r="L89"/>
          <cell r="M89"/>
          <cell r="N89"/>
        </row>
        <row r="90">
          <cell r="C90">
            <v>1.1149523855585457</v>
          </cell>
          <cell r="D90">
            <v>0.89927693341680104</v>
          </cell>
          <cell r="E90"/>
          <cell r="F90"/>
          <cell r="G90"/>
          <cell r="H90"/>
          <cell r="I90"/>
          <cell r="J90"/>
          <cell r="K90"/>
          <cell r="L90"/>
          <cell r="M90"/>
          <cell r="N90"/>
        </row>
        <row r="91">
          <cell r="C91">
            <v>1.0846828829633159</v>
          </cell>
          <cell r="D91">
            <v>0.87029358191539719</v>
          </cell>
          <cell r="E91"/>
          <cell r="F91"/>
          <cell r="G91"/>
          <cell r="H91"/>
          <cell r="I91"/>
          <cell r="J91"/>
          <cell r="K91"/>
          <cell r="L91"/>
          <cell r="M91"/>
          <cell r="N91"/>
        </row>
        <row r="92">
          <cell r="C92">
            <v>1.1151897089569369</v>
          </cell>
          <cell r="D92">
            <v>0.90088578582535872</v>
          </cell>
          <cell r="E92"/>
          <cell r="F92"/>
          <cell r="G92"/>
          <cell r="H92"/>
          <cell r="I92"/>
          <cell r="J92"/>
          <cell r="K92"/>
          <cell r="L92"/>
          <cell r="M92"/>
          <cell r="N92"/>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cell r="BW9"/>
          <cell r="BX9"/>
          <cell r="BY9"/>
          <cell r="BZ9"/>
          <cell r="CA9"/>
          <cell r="CB9"/>
          <cell r="CC9"/>
          <cell r="CD9"/>
          <cell r="CE9"/>
          <cell r="CF9"/>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cell r="CE10"/>
          <cell r="CF10"/>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cell r="CF11"/>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cell r="P107"/>
          <cell r="Q107"/>
          <cell r="R107"/>
          <cell r="S107"/>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cell r="F228"/>
          <cell r="G228"/>
          <cell r="H228"/>
          <cell r="I228"/>
          <cell r="J228"/>
          <cell r="K228"/>
          <cell r="L228"/>
          <cell r="M228"/>
          <cell r="N228"/>
          <cell r="O228">
            <v>37948.599999999853</v>
          </cell>
        </row>
        <row r="229">
          <cell r="C229"/>
          <cell r="D229"/>
          <cell r="E229"/>
          <cell r="F229"/>
          <cell r="G229"/>
          <cell r="H229"/>
          <cell r="I229"/>
          <cell r="J229"/>
          <cell r="K229"/>
          <cell r="L229"/>
          <cell r="M229"/>
          <cell r="N229"/>
          <cell r="O229"/>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cell r="F231"/>
          <cell r="G231"/>
          <cell r="H231"/>
          <cell r="I231"/>
          <cell r="J231"/>
          <cell r="K231"/>
          <cell r="L231"/>
          <cell r="M231"/>
          <cell r="N231"/>
          <cell r="O231">
            <v>46175.570000000087</v>
          </cell>
        </row>
        <row r="232">
          <cell r="C232"/>
          <cell r="D232"/>
          <cell r="E232"/>
          <cell r="F232"/>
          <cell r="G232"/>
          <cell r="H232"/>
          <cell r="I232"/>
          <cell r="J232"/>
          <cell r="K232"/>
          <cell r="L232"/>
          <cell r="M232"/>
          <cell r="N232"/>
          <cell r="O232"/>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cell r="F234"/>
          <cell r="G234"/>
          <cell r="H234"/>
          <cell r="I234"/>
          <cell r="J234"/>
          <cell r="K234"/>
          <cell r="L234"/>
          <cell r="M234"/>
          <cell r="N234"/>
          <cell r="O234">
            <v>119333.58999999962</v>
          </cell>
        </row>
        <row r="235">
          <cell r="C235"/>
          <cell r="D235"/>
          <cell r="E235"/>
          <cell r="F235"/>
          <cell r="G235"/>
          <cell r="H235"/>
          <cell r="I235"/>
          <cell r="J235"/>
          <cell r="K235"/>
          <cell r="L235"/>
          <cell r="M235"/>
          <cell r="N235"/>
          <cell r="O235"/>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cell r="F237"/>
          <cell r="G237"/>
          <cell r="H237"/>
          <cell r="I237"/>
          <cell r="J237"/>
          <cell r="K237"/>
          <cell r="L237"/>
          <cell r="M237"/>
          <cell r="N237"/>
          <cell r="O237">
            <v>484112.22000000085</v>
          </cell>
        </row>
        <row r="238">
          <cell r="C238"/>
          <cell r="D238"/>
          <cell r="E238"/>
          <cell r="F238"/>
          <cell r="G238"/>
          <cell r="H238"/>
          <cell r="I238"/>
          <cell r="J238"/>
          <cell r="K238"/>
          <cell r="L238"/>
          <cell r="M238"/>
          <cell r="N238"/>
          <cell r="O238"/>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cell r="F240"/>
          <cell r="G240"/>
          <cell r="H240"/>
          <cell r="I240"/>
          <cell r="J240"/>
          <cell r="K240"/>
          <cell r="L240"/>
          <cell r="M240"/>
          <cell r="N240"/>
          <cell r="O240">
            <v>94040.889999998297</v>
          </cell>
        </row>
        <row r="241">
          <cell r="C241"/>
          <cell r="D241"/>
          <cell r="E241"/>
          <cell r="F241"/>
          <cell r="G241"/>
          <cell r="H241"/>
          <cell r="I241"/>
          <cell r="J241"/>
          <cell r="K241"/>
          <cell r="L241"/>
          <cell r="M241"/>
          <cell r="N241"/>
          <cell r="O241"/>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cell r="F243"/>
          <cell r="G243"/>
          <cell r="H243"/>
          <cell r="I243"/>
          <cell r="J243"/>
          <cell r="K243"/>
          <cell r="L243"/>
          <cell r="M243"/>
          <cell r="N243"/>
          <cell r="O243">
            <v>781610.86999999883</v>
          </cell>
        </row>
        <row r="244">
          <cell r="C244"/>
          <cell r="D244"/>
          <cell r="E244"/>
          <cell r="F244"/>
          <cell r="G244"/>
          <cell r="H244"/>
          <cell r="I244"/>
          <cell r="J244"/>
          <cell r="K244"/>
          <cell r="L244"/>
          <cell r="M244"/>
          <cell r="N244"/>
          <cell r="O244"/>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cell r="G248"/>
          <cell r="H248"/>
          <cell r="I248"/>
          <cell r="J248"/>
          <cell r="K248"/>
          <cell r="L248"/>
          <cell r="M248"/>
          <cell r="N248"/>
          <cell r="O248"/>
          <cell r="P248"/>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cell r="G250"/>
          <cell r="H250"/>
          <cell r="I250"/>
          <cell r="J250"/>
          <cell r="K250"/>
          <cell r="L250"/>
          <cell r="M250"/>
          <cell r="N250"/>
          <cell r="O250"/>
          <cell r="P250"/>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cell r="G252"/>
          <cell r="H252"/>
          <cell r="I252"/>
          <cell r="J252"/>
          <cell r="K252"/>
          <cell r="L252"/>
          <cell r="M252"/>
          <cell r="N252"/>
          <cell r="O252"/>
          <cell r="P252"/>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cell r="G254"/>
          <cell r="H254"/>
          <cell r="I254"/>
          <cell r="J254"/>
          <cell r="K254"/>
          <cell r="L254"/>
          <cell r="M254"/>
          <cell r="N254"/>
          <cell r="O254"/>
          <cell r="P254"/>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cell r="G256"/>
          <cell r="H256"/>
          <cell r="I256"/>
          <cell r="J256"/>
          <cell r="K256"/>
          <cell r="L256"/>
          <cell r="M256"/>
          <cell r="N256"/>
          <cell r="O256"/>
          <cell r="P256"/>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cell r="G258"/>
          <cell r="H258"/>
          <cell r="I258"/>
          <cell r="J258"/>
          <cell r="K258"/>
          <cell r="L258"/>
          <cell r="M258"/>
          <cell r="N258"/>
          <cell r="O258"/>
          <cell r="P258"/>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cell r="G262"/>
          <cell r="H262"/>
          <cell r="I262"/>
          <cell r="J262"/>
          <cell r="K262"/>
          <cell r="L262"/>
          <cell r="M262"/>
          <cell r="N262"/>
          <cell r="O262"/>
          <cell r="P262"/>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cell r="G264"/>
          <cell r="H264"/>
          <cell r="I264"/>
          <cell r="J264"/>
          <cell r="K264"/>
          <cell r="L264"/>
          <cell r="M264"/>
          <cell r="N264"/>
          <cell r="O264"/>
          <cell r="P264"/>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cell r="G266"/>
          <cell r="H266"/>
          <cell r="I266"/>
          <cell r="J266"/>
          <cell r="K266"/>
          <cell r="L266"/>
          <cell r="M266"/>
          <cell r="N266"/>
          <cell r="O266"/>
          <cell r="P266"/>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cell r="G268"/>
          <cell r="H268"/>
          <cell r="I268"/>
          <cell r="J268"/>
          <cell r="K268"/>
          <cell r="L268"/>
          <cell r="M268"/>
          <cell r="N268"/>
          <cell r="O268"/>
          <cell r="P268"/>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cell r="G270"/>
          <cell r="H270"/>
          <cell r="I270"/>
          <cell r="J270"/>
          <cell r="K270"/>
          <cell r="L270"/>
          <cell r="M270"/>
          <cell r="N270"/>
          <cell r="O270"/>
          <cell r="P270"/>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cell r="G272"/>
          <cell r="H272"/>
          <cell r="I272"/>
          <cell r="J272"/>
          <cell r="K272"/>
          <cell r="L272"/>
          <cell r="M272"/>
          <cell r="N272"/>
          <cell r="O272"/>
          <cell r="P272"/>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cell r="G2"/>
          <cell r="H2"/>
          <cell r="I2"/>
          <cell r="J2"/>
          <cell r="K2"/>
          <cell r="L2"/>
          <cell r="M2"/>
          <cell r="N2"/>
          <cell r="O2"/>
          <cell r="P2">
            <v>24.741772151898733</v>
          </cell>
          <cell r="V2">
            <v>10545</v>
          </cell>
          <cell r="W2">
            <v>10165</v>
          </cell>
          <cell r="X2"/>
          <cell r="Y2"/>
          <cell r="Z2"/>
          <cell r="AA2"/>
          <cell r="AB2"/>
          <cell r="AC2"/>
          <cell r="AD2"/>
          <cell r="AE2"/>
          <cell r="AF2"/>
          <cell r="AG2"/>
          <cell r="AH2">
            <v>20710</v>
          </cell>
        </row>
        <row r="3">
          <cell r="D3">
            <v>25</v>
          </cell>
          <cell r="E3">
            <v>54</v>
          </cell>
          <cell r="F3"/>
          <cell r="G3"/>
          <cell r="H3"/>
          <cell r="I3"/>
          <cell r="J3"/>
          <cell r="K3"/>
          <cell r="L3"/>
          <cell r="M3"/>
          <cell r="N3"/>
          <cell r="O3"/>
          <cell r="P3">
            <v>79</v>
          </cell>
          <cell r="V3">
            <v>4896</v>
          </cell>
          <cell r="W3">
            <v>5356</v>
          </cell>
          <cell r="X3"/>
          <cell r="Y3"/>
          <cell r="Z3"/>
          <cell r="AA3"/>
          <cell r="AB3"/>
          <cell r="AC3"/>
          <cell r="AD3"/>
          <cell r="AE3"/>
          <cell r="AF3"/>
          <cell r="AG3"/>
          <cell r="AH3">
            <v>10252</v>
          </cell>
        </row>
        <row r="4">
          <cell r="D4">
            <v>17.11</v>
          </cell>
          <cell r="E4">
            <v>18.5</v>
          </cell>
          <cell r="F4"/>
          <cell r="G4"/>
          <cell r="H4"/>
          <cell r="I4"/>
          <cell r="J4"/>
          <cell r="K4"/>
          <cell r="L4"/>
          <cell r="M4"/>
          <cell r="N4"/>
          <cell r="O4"/>
          <cell r="P4">
            <v>17.894102564102564</v>
          </cell>
          <cell r="V4">
            <v>0.46429587482219059</v>
          </cell>
          <cell r="W4">
            <v>0.52690605017215941</v>
          </cell>
          <cell r="X4"/>
          <cell r="Y4"/>
          <cell r="Z4"/>
          <cell r="AA4"/>
          <cell r="AB4"/>
          <cell r="AC4"/>
          <cell r="AD4"/>
          <cell r="AE4"/>
          <cell r="AF4"/>
          <cell r="AG4"/>
          <cell r="AH4">
            <v>0.4950265572187349</v>
          </cell>
        </row>
        <row r="5">
          <cell r="D5">
            <v>34</v>
          </cell>
          <cell r="E5">
            <v>44</v>
          </cell>
          <cell r="F5"/>
          <cell r="G5"/>
          <cell r="H5"/>
          <cell r="I5"/>
          <cell r="J5"/>
          <cell r="K5"/>
          <cell r="L5"/>
          <cell r="M5"/>
          <cell r="N5"/>
          <cell r="O5"/>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cell r="G6"/>
          <cell r="H6"/>
          <cell r="I6"/>
          <cell r="J6"/>
          <cell r="K6"/>
          <cell r="L6"/>
          <cell r="M6"/>
          <cell r="N6"/>
          <cell r="O6"/>
          <cell r="P6">
            <v>22.41764705882353</v>
          </cell>
          <cell r="V6">
            <v>18607</v>
          </cell>
          <cell r="W6">
            <v>19067</v>
          </cell>
          <cell r="X6"/>
          <cell r="Y6"/>
          <cell r="Z6"/>
          <cell r="AA6"/>
          <cell r="AB6"/>
          <cell r="AC6"/>
          <cell r="AD6"/>
          <cell r="AE6"/>
          <cell r="AF6"/>
          <cell r="AG6"/>
          <cell r="AH6">
            <v>37674</v>
          </cell>
        </row>
        <row r="7">
          <cell r="D7">
            <v>73</v>
          </cell>
          <cell r="E7">
            <v>80</v>
          </cell>
          <cell r="F7"/>
          <cell r="G7"/>
          <cell r="H7"/>
          <cell r="I7"/>
          <cell r="J7"/>
          <cell r="K7"/>
          <cell r="L7"/>
          <cell r="M7"/>
          <cell r="N7"/>
          <cell r="O7"/>
          <cell r="P7">
            <v>153</v>
          </cell>
          <cell r="V7">
            <v>7595</v>
          </cell>
          <cell r="W7">
            <v>8815</v>
          </cell>
          <cell r="X7"/>
          <cell r="Y7"/>
          <cell r="Z7"/>
          <cell r="AA7"/>
          <cell r="AB7"/>
          <cell r="AC7"/>
          <cell r="AD7"/>
          <cell r="AE7"/>
          <cell r="AF7"/>
          <cell r="AG7"/>
          <cell r="AH7">
            <v>16410</v>
          </cell>
        </row>
        <row r="8">
          <cell r="D8">
            <v>31.99</v>
          </cell>
          <cell r="E8">
            <v>27.6</v>
          </cell>
          <cell r="F8"/>
          <cell r="G8"/>
          <cell r="H8"/>
          <cell r="I8"/>
          <cell r="J8"/>
          <cell r="K8"/>
          <cell r="L8"/>
          <cell r="M8"/>
          <cell r="N8"/>
          <cell r="O8"/>
          <cell r="P8">
            <v>29.165130434782608</v>
          </cell>
          <cell r="V8">
            <v>0.40817971731068953</v>
          </cell>
          <cell r="W8">
            <v>0.46231709235852519</v>
          </cell>
          <cell r="X8"/>
          <cell r="Y8"/>
          <cell r="Z8"/>
          <cell r="AA8"/>
          <cell r="AB8"/>
          <cell r="AC8"/>
          <cell r="AD8"/>
          <cell r="AE8"/>
          <cell r="AF8"/>
          <cell r="AG8"/>
          <cell r="AH8">
            <v>0.43557891383978342</v>
          </cell>
        </row>
        <row r="9">
          <cell r="D9">
            <v>41</v>
          </cell>
          <cell r="E9">
            <v>74</v>
          </cell>
          <cell r="F9"/>
          <cell r="G9"/>
          <cell r="H9"/>
          <cell r="I9"/>
          <cell r="J9"/>
          <cell r="K9"/>
          <cell r="L9"/>
          <cell r="M9"/>
          <cell r="N9"/>
          <cell r="O9"/>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cell r="G10"/>
          <cell r="H10"/>
          <cell r="I10"/>
          <cell r="J10"/>
          <cell r="K10"/>
          <cell r="L10"/>
          <cell r="M10"/>
          <cell r="N10"/>
          <cell r="O10"/>
          <cell r="P10">
            <v>24.72</v>
          </cell>
          <cell r="V10">
            <v>17952</v>
          </cell>
          <cell r="W10">
            <v>17664</v>
          </cell>
          <cell r="X10"/>
          <cell r="Y10"/>
          <cell r="Z10"/>
          <cell r="AA10"/>
          <cell r="AB10"/>
          <cell r="AC10"/>
          <cell r="AD10"/>
          <cell r="AE10"/>
          <cell r="AF10"/>
          <cell r="AG10"/>
          <cell r="AH10">
            <v>35616</v>
          </cell>
        </row>
        <row r="11">
          <cell r="D11">
            <v>23</v>
          </cell>
          <cell r="E11">
            <v>46</v>
          </cell>
          <cell r="F11"/>
          <cell r="G11"/>
          <cell r="H11"/>
          <cell r="I11"/>
          <cell r="J11"/>
          <cell r="K11"/>
          <cell r="L11"/>
          <cell r="M11"/>
          <cell r="N11"/>
          <cell r="O11"/>
          <cell r="P11">
            <v>69</v>
          </cell>
          <cell r="V11">
            <v>8930</v>
          </cell>
          <cell r="W11">
            <v>10259</v>
          </cell>
          <cell r="X11"/>
          <cell r="Y11"/>
          <cell r="Z11"/>
          <cell r="AA11"/>
          <cell r="AB11"/>
          <cell r="AC11"/>
          <cell r="AD11"/>
          <cell r="AE11"/>
          <cell r="AF11"/>
          <cell r="AG11"/>
          <cell r="AH11">
            <v>19189</v>
          </cell>
        </row>
        <row r="12">
          <cell r="D12">
            <v>23.41</v>
          </cell>
          <cell r="E12">
            <v>21.2</v>
          </cell>
          <cell r="F12"/>
          <cell r="G12"/>
          <cell r="H12"/>
          <cell r="I12"/>
          <cell r="J12"/>
          <cell r="K12"/>
          <cell r="L12"/>
          <cell r="M12"/>
          <cell r="N12"/>
          <cell r="O12"/>
          <cell r="P12">
            <v>22.076842105263157</v>
          </cell>
          <cell r="V12">
            <v>0.49743761140819964</v>
          </cell>
          <cell r="W12">
            <v>0.58078577898550721</v>
          </cell>
          <cell r="X12"/>
          <cell r="Y12"/>
          <cell r="Z12"/>
          <cell r="AA12"/>
          <cell r="AB12"/>
          <cell r="AC12"/>
          <cell r="AD12"/>
          <cell r="AE12"/>
          <cell r="AF12"/>
          <cell r="AG12"/>
          <cell r="AH12">
            <v>0.53877470799640614</v>
          </cell>
        </row>
        <row r="13">
          <cell r="D13">
            <v>196</v>
          </cell>
          <cell r="E13">
            <v>298</v>
          </cell>
          <cell r="F13"/>
          <cell r="G13"/>
          <cell r="H13"/>
          <cell r="I13"/>
          <cell r="J13"/>
          <cell r="K13"/>
          <cell r="L13"/>
          <cell r="M13"/>
          <cell r="N13"/>
          <cell r="O13"/>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cell r="Y14"/>
          <cell r="Z14"/>
          <cell r="AA14"/>
          <cell r="AB14"/>
          <cell r="AC14"/>
          <cell r="AD14"/>
          <cell r="AE14"/>
          <cell r="AF14"/>
          <cell r="AG14"/>
          <cell r="AH14">
            <v>22682</v>
          </cell>
        </row>
        <row r="15">
          <cell r="V15">
            <v>4353</v>
          </cell>
          <cell r="W15">
            <v>5228</v>
          </cell>
          <cell r="X15"/>
          <cell r="Y15"/>
          <cell r="Z15"/>
          <cell r="AA15"/>
          <cell r="AB15"/>
          <cell r="AC15"/>
          <cell r="AD15"/>
          <cell r="AE15"/>
          <cell r="AF15"/>
          <cell r="AG15"/>
          <cell r="AH15">
            <v>9581</v>
          </cell>
        </row>
        <row r="16">
          <cell r="D16">
            <v>9.5</v>
          </cell>
          <cell r="E16">
            <v>10.4</v>
          </cell>
          <cell r="F16"/>
          <cell r="G16"/>
          <cell r="H16"/>
          <cell r="I16"/>
          <cell r="J16"/>
          <cell r="K16"/>
          <cell r="L16"/>
          <cell r="M16"/>
          <cell r="N16"/>
          <cell r="O16"/>
          <cell r="P16">
            <v>9.997647058823528</v>
          </cell>
          <cell r="V16">
            <v>0.40309287897027501</v>
          </cell>
          <cell r="W16">
            <v>0.43995624000673228</v>
          </cell>
          <cell r="X16"/>
          <cell r="Y16"/>
          <cell r="Z16"/>
          <cell r="AA16"/>
          <cell r="AB16"/>
          <cell r="AC16"/>
          <cell r="AD16"/>
          <cell r="AE16"/>
          <cell r="AF16"/>
          <cell r="AG16"/>
          <cell r="AH16">
            <v>0.42240543161978661</v>
          </cell>
        </row>
        <row r="17">
          <cell r="D17">
            <v>38</v>
          </cell>
          <cell r="E17">
            <v>47</v>
          </cell>
          <cell r="F17"/>
          <cell r="G17"/>
          <cell r="H17"/>
          <cell r="I17"/>
          <cell r="J17"/>
          <cell r="K17"/>
          <cell r="L17"/>
          <cell r="M17"/>
          <cell r="N17"/>
          <cell r="O17"/>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cell r="G18"/>
          <cell r="H18"/>
          <cell r="I18"/>
          <cell r="J18"/>
          <cell r="K18"/>
          <cell r="L18"/>
          <cell r="M18"/>
          <cell r="N18"/>
          <cell r="O18"/>
          <cell r="P18">
            <v>85</v>
          </cell>
          <cell r="V18">
            <v>11207</v>
          </cell>
          <cell r="W18">
            <v>11758</v>
          </cell>
          <cell r="X18"/>
          <cell r="Y18"/>
          <cell r="Z18"/>
          <cell r="AA18"/>
          <cell r="AB18"/>
          <cell r="AC18"/>
          <cell r="AD18"/>
          <cell r="AE18"/>
          <cell r="AF18"/>
          <cell r="AG18"/>
          <cell r="AH18">
            <v>22965</v>
          </cell>
        </row>
        <row r="19">
          <cell r="D19">
            <v>1</v>
          </cell>
          <cell r="E19">
            <v>1</v>
          </cell>
          <cell r="F19"/>
          <cell r="G19"/>
          <cell r="H19"/>
          <cell r="I19"/>
          <cell r="J19"/>
          <cell r="K19"/>
          <cell r="L19"/>
          <cell r="M19"/>
          <cell r="N19"/>
          <cell r="O19"/>
          <cell r="P19">
            <v>1</v>
          </cell>
          <cell r="V19">
            <v>4628</v>
          </cell>
          <cell r="W19">
            <v>6139</v>
          </cell>
          <cell r="X19"/>
          <cell r="Y19"/>
          <cell r="Z19"/>
          <cell r="AA19"/>
          <cell r="AB19"/>
          <cell r="AC19"/>
          <cell r="AD19"/>
          <cell r="AE19"/>
          <cell r="AF19"/>
          <cell r="AG19"/>
          <cell r="AH19">
            <v>10767</v>
          </cell>
        </row>
        <row r="20">
          <cell r="D20">
            <v>12.4</v>
          </cell>
          <cell r="E20">
            <v>13.5</v>
          </cell>
          <cell r="F20"/>
          <cell r="G20"/>
          <cell r="H20"/>
          <cell r="I20"/>
          <cell r="J20"/>
          <cell r="K20"/>
          <cell r="L20"/>
          <cell r="M20"/>
          <cell r="N20"/>
          <cell r="O20"/>
          <cell r="P20">
            <v>12.895000000000001</v>
          </cell>
          <cell r="V20">
            <v>0.41295618809672524</v>
          </cell>
          <cell r="W20">
            <v>0.5221126041843851</v>
          </cell>
          <cell r="X20"/>
          <cell r="Y20"/>
          <cell r="Z20"/>
          <cell r="AA20"/>
          <cell r="AB20"/>
          <cell r="AC20"/>
          <cell r="AD20"/>
          <cell r="AE20"/>
          <cell r="AF20"/>
          <cell r="AG20"/>
          <cell r="AH20">
            <v>0.46884389288047029</v>
          </cell>
        </row>
        <row r="21">
          <cell r="D21">
            <v>66</v>
          </cell>
          <cell r="E21">
            <v>54</v>
          </cell>
          <cell r="F21"/>
          <cell r="G21"/>
          <cell r="H21"/>
          <cell r="I21"/>
          <cell r="J21"/>
          <cell r="K21"/>
          <cell r="L21"/>
          <cell r="M21"/>
          <cell r="N21"/>
          <cell r="O21"/>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cell r="G22"/>
          <cell r="H22"/>
          <cell r="I22"/>
          <cell r="J22"/>
          <cell r="K22"/>
          <cell r="L22"/>
          <cell r="M22"/>
          <cell r="N22"/>
          <cell r="O22"/>
          <cell r="P22">
            <v>119</v>
          </cell>
          <cell r="V22">
            <v>69110</v>
          </cell>
          <cell r="W22">
            <v>70537</v>
          </cell>
          <cell r="X22"/>
          <cell r="Y22"/>
          <cell r="Z22"/>
          <cell r="AA22"/>
          <cell r="AB22"/>
          <cell r="AC22"/>
          <cell r="AD22"/>
          <cell r="AE22"/>
          <cell r="AF22"/>
          <cell r="AG22"/>
          <cell r="AH22">
            <v>139647</v>
          </cell>
        </row>
        <row r="23">
          <cell r="D23">
            <v>1</v>
          </cell>
          <cell r="E23">
            <v>0.98148148148148151</v>
          </cell>
          <cell r="F23"/>
          <cell r="G23"/>
          <cell r="H23"/>
          <cell r="I23"/>
          <cell r="J23"/>
          <cell r="K23"/>
          <cell r="L23"/>
          <cell r="M23"/>
          <cell r="N23"/>
          <cell r="O23"/>
          <cell r="P23">
            <v>0.9916666666666667</v>
          </cell>
          <cell r="V23">
            <v>30402</v>
          </cell>
          <cell r="W23">
            <v>35797</v>
          </cell>
          <cell r="X23"/>
          <cell r="Y23"/>
          <cell r="Z23"/>
          <cell r="AA23"/>
          <cell r="AB23"/>
          <cell r="AC23"/>
          <cell r="AD23"/>
          <cell r="AE23"/>
          <cell r="AF23"/>
          <cell r="AG23"/>
          <cell r="AH23">
            <v>66199</v>
          </cell>
        </row>
        <row r="24">
          <cell r="D24">
            <v>12.5</v>
          </cell>
          <cell r="E24">
            <v>11.1</v>
          </cell>
          <cell r="F24"/>
          <cell r="G24"/>
          <cell r="H24"/>
          <cell r="I24"/>
          <cell r="J24"/>
          <cell r="K24"/>
          <cell r="L24"/>
          <cell r="M24"/>
          <cell r="N24"/>
          <cell r="O24"/>
          <cell r="P24">
            <v>11.784444444444444</v>
          </cell>
          <cell r="V24">
            <v>0.43990739400954998</v>
          </cell>
          <cell r="W24">
            <v>0.50749252165530145</v>
          </cell>
          <cell r="X24"/>
          <cell r="Y24"/>
          <cell r="Z24"/>
          <cell r="AA24"/>
          <cell r="AB24"/>
          <cell r="AC24"/>
          <cell r="AD24"/>
          <cell r="AE24"/>
          <cell r="AF24"/>
          <cell r="AG24"/>
          <cell r="AH24">
            <v>0.47404527129118418</v>
          </cell>
        </row>
        <row r="25">
          <cell r="D25">
            <v>110</v>
          </cell>
          <cell r="E25">
            <v>115</v>
          </cell>
          <cell r="F25"/>
          <cell r="G25"/>
          <cell r="H25"/>
          <cell r="I25"/>
          <cell r="J25"/>
          <cell r="K25"/>
          <cell r="L25"/>
          <cell r="M25"/>
          <cell r="N25"/>
          <cell r="O25"/>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cell r="G26"/>
          <cell r="H26"/>
          <cell r="I26"/>
          <cell r="J26"/>
          <cell r="K26"/>
          <cell r="L26"/>
          <cell r="M26"/>
          <cell r="N26"/>
          <cell r="O26"/>
          <cell r="P26">
            <v>225</v>
          </cell>
        </row>
        <row r="27">
          <cell r="D27">
            <v>1</v>
          </cell>
          <cell r="E27">
            <v>1</v>
          </cell>
          <cell r="F27"/>
          <cell r="G27"/>
          <cell r="H27"/>
          <cell r="I27"/>
          <cell r="J27"/>
          <cell r="K27"/>
          <cell r="L27"/>
          <cell r="M27"/>
          <cell r="N27"/>
          <cell r="O27"/>
          <cell r="P27">
            <v>1</v>
          </cell>
        </row>
        <row r="28">
          <cell r="D28">
            <v>12.3</v>
          </cell>
          <cell r="E28">
            <v>11.7</v>
          </cell>
          <cell r="F28"/>
          <cell r="G28"/>
          <cell r="H28"/>
          <cell r="I28"/>
          <cell r="J28"/>
          <cell r="K28"/>
          <cell r="L28"/>
          <cell r="M28"/>
          <cell r="N28"/>
          <cell r="O28"/>
          <cell r="P28">
            <v>11.924460431654676</v>
          </cell>
          <cell r="V28">
            <v>10545</v>
          </cell>
          <cell r="W28">
            <v>10165</v>
          </cell>
          <cell r="X28"/>
          <cell r="Y28"/>
          <cell r="Z28"/>
          <cell r="AA28"/>
          <cell r="AB28"/>
          <cell r="AC28"/>
          <cell r="AD28"/>
          <cell r="AE28"/>
          <cell r="AF28"/>
          <cell r="AG28"/>
          <cell r="AH28">
            <v>20710</v>
          </cell>
        </row>
        <row r="29">
          <cell r="D29">
            <v>52</v>
          </cell>
          <cell r="E29">
            <v>87</v>
          </cell>
          <cell r="F29"/>
          <cell r="G29"/>
          <cell r="H29"/>
          <cell r="I29"/>
          <cell r="J29"/>
          <cell r="K29"/>
          <cell r="L29"/>
          <cell r="M29"/>
          <cell r="N29"/>
          <cell r="O29"/>
          <cell r="P29">
            <v>139</v>
          </cell>
          <cell r="V29">
            <v>7</v>
          </cell>
          <cell r="W29">
            <v>14</v>
          </cell>
          <cell r="X29"/>
          <cell r="Y29"/>
          <cell r="Z29"/>
          <cell r="AA29"/>
          <cell r="AB29"/>
          <cell r="AC29"/>
          <cell r="AD29"/>
          <cell r="AE29"/>
          <cell r="AF29"/>
          <cell r="AG29"/>
          <cell r="AH29">
            <v>21</v>
          </cell>
        </row>
        <row r="30">
          <cell r="D30">
            <v>52</v>
          </cell>
          <cell r="E30">
            <v>87</v>
          </cell>
          <cell r="F30"/>
          <cell r="G30"/>
          <cell r="H30"/>
          <cell r="I30"/>
          <cell r="J30"/>
          <cell r="K30"/>
          <cell r="L30"/>
          <cell r="M30"/>
          <cell r="N30"/>
          <cell r="O30"/>
          <cell r="P30">
            <v>139</v>
          </cell>
          <cell r="V30">
            <v>6.1306708705552633E-4</v>
          </cell>
          <cell r="W30">
            <v>1.266624445851805E-3</v>
          </cell>
          <cell r="X30"/>
          <cell r="Y30"/>
          <cell r="Z30"/>
          <cell r="AA30"/>
          <cell r="AB30"/>
          <cell r="AC30"/>
          <cell r="AD30"/>
          <cell r="AE30"/>
          <cell r="AF30"/>
          <cell r="AG30"/>
          <cell r="AH30">
            <v>9.3453784878287573E-4</v>
          </cell>
        </row>
        <row r="31">
          <cell r="D31">
            <v>1</v>
          </cell>
          <cell r="E31">
            <v>1</v>
          </cell>
          <cell r="F31"/>
          <cell r="G31"/>
          <cell r="H31"/>
          <cell r="I31"/>
          <cell r="J31"/>
          <cell r="K31"/>
          <cell r="L31"/>
          <cell r="M31"/>
          <cell r="N31"/>
          <cell r="O31"/>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cell r="G32"/>
          <cell r="H32"/>
          <cell r="I32"/>
          <cell r="J32"/>
          <cell r="K32"/>
          <cell r="L32"/>
          <cell r="M32"/>
          <cell r="N32"/>
          <cell r="O32"/>
          <cell r="P32">
            <v>8.9946428571428587</v>
          </cell>
          <cell r="V32">
            <v>18607</v>
          </cell>
          <cell r="W32">
            <v>19067</v>
          </cell>
          <cell r="X32"/>
          <cell r="Y32"/>
          <cell r="Z32"/>
          <cell r="AA32"/>
          <cell r="AB32"/>
          <cell r="AC32"/>
          <cell r="AD32"/>
          <cell r="AE32"/>
          <cell r="AF32"/>
          <cell r="AG32"/>
          <cell r="AH32">
            <v>37674</v>
          </cell>
        </row>
        <row r="33">
          <cell r="D33">
            <v>57</v>
          </cell>
          <cell r="E33">
            <v>55</v>
          </cell>
          <cell r="F33"/>
          <cell r="G33"/>
          <cell r="H33"/>
          <cell r="I33"/>
          <cell r="J33"/>
          <cell r="K33"/>
          <cell r="L33"/>
          <cell r="M33"/>
          <cell r="N33"/>
          <cell r="O33"/>
          <cell r="P33">
            <v>112</v>
          </cell>
          <cell r="V33">
            <v>41</v>
          </cell>
          <cell r="W33">
            <v>25</v>
          </cell>
          <cell r="X33"/>
          <cell r="Y33"/>
          <cell r="Z33"/>
          <cell r="AA33"/>
          <cell r="AB33"/>
          <cell r="AC33"/>
          <cell r="AD33"/>
          <cell r="AE33"/>
          <cell r="AF33"/>
          <cell r="AG33"/>
          <cell r="AH33">
            <v>66</v>
          </cell>
        </row>
        <row r="34">
          <cell r="D34">
            <v>57</v>
          </cell>
          <cell r="E34">
            <v>55</v>
          </cell>
          <cell r="F34"/>
          <cell r="G34"/>
          <cell r="H34"/>
          <cell r="I34"/>
          <cell r="J34"/>
          <cell r="K34"/>
          <cell r="L34"/>
          <cell r="M34"/>
          <cell r="N34"/>
          <cell r="O34"/>
          <cell r="P34">
            <v>112</v>
          </cell>
          <cell r="V34">
            <v>2.018709995076317E-3</v>
          </cell>
          <cell r="W34">
            <v>1.1768028619845603E-3</v>
          </cell>
          <cell r="X34"/>
          <cell r="Y34"/>
          <cell r="Z34"/>
          <cell r="AA34"/>
          <cell r="AB34"/>
          <cell r="AC34"/>
          <cell r="AD34"/>
          <cell r="AE34"/>
          <cell r="AF34"/>
          <cell r="AG34"/>
          <cell r="AH34">
            <v>1.5882947490012994E-3</v>
          </cell>
        </row>
        <row r="35">
          <cell r="D35">
            <v>1</v>
          </cell>
          <cell r="E35">
            <v>1</v>
          </cell>
          <cell r="F35"/>
          <cell r="G35"/>
          <cell r="H35"/>
          <cell r="I35"/>
          <cell r="J35"/>
          <cell r="K35"/>
          <cell r="L35"/>
          <cell r="M35"/>
          <cell r="N35"/>
          <cell r="O35"/>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cell r="G36"/>
          <cell r="H36"/>
          <cell r="I36"/>
          <cell r="J36"/>
          <cell r="K36"/>
          <cell r="L36"/>
          <cell r="M36"/>
          <cell r="N36"/>
          <cell r="O36"/>
          <cell r="P36">
            <v>11.9356093979442</v>
          </cell>
          <cell r="V36">
            <v>17952</v>
          </cell>
          <cell r="W36">
            <v>17664</v>
          </cell>
          <cell r="X36"/>
          <cell r="Y36"/>
          <cell r="Z36"/>
          <cell r="AA36"/>
          <cell r="AB36"/>
          <cell r="AC36"/>
          <cell r="AD36"/>
          <cell r="AE36"/>
          <cell r="AF36"/>
          <cell r="AG36"/>
          <cell r="AH36">
            <v>35616</v>
          </cell>
        </row>
        <row r="37">
          <cell r="D37">
            <v>323</v>
          </cell>
          <cell r="E37">
            <v>358</v>
          </cell>
          <cell r="F37"/>
          <cell r="G37"/>
          <cell r="H37"/>
          <cell r="I37"/>
          <cell r="J37"/>
          <cell r="K37"/>
          <cell r="L37"/>
          <cell r="M37"/>
          <cell r="N37"/>
          <cell r="O37"/>
          <cell r="P37">
            <v>681</v>
          </cell>
          <cell r="V37">
            <v>15</v>
          </cell>
          <cell r="W37">
            <v>18</v>
          </cell>
          <cell r="X37"/>
          <cell r="Y37"/>
          <cell r="Z37"/>
          <cell r="AA37"/>
          <cell r="AB37"/>
          <cell r="AC37"/>
          <cell r="AD37"/>
          <cell r="AE37"/>
          <cell r="AF37"/>
          <cell r="AG37"/>
          <cell r="AH37">
            <v>33</v>
          </cell>
        </row>
        <row r="38">
          <cell r="D38">
            <v>323</v>
          </cell>
          <cell r="E38">
            <v>357</v>
          </cell>
          <cell r="F38"/>
          <cell r="G38"/>
          <cell r="H38"/>
          <cell r="I38"/>
          <cell r="J38"/>
          <cell r="K38"/>
          <cell r="L38"/>
          <cell r="M38"/>
          <cell r="N38"/>
          <cell r="O38"/>
          <cell r="P38">
            <v>680</v>
          </cell>
          <cell r="V38">
            <v>7.7415359207266723E-4</v>
          </cell>
          <cell r="W38">
            <v>9.2903225806451615E-4</v>
          </cell>
          <cell r="X38"/>
          <cell r="Y38"/>
          <cell r="Z38"/>
          <cell r="AA38"/>
          <cell r="AB38"/>
          <cell r="AC38"/>
          <cell r="AD38"/>
          <cell r="AE38"/>
          <cell r="AF38"/>
          <cell r="AG38"/>
          <cell r="AH38">
            <v>8.515909266857629E-4</v>
          </cell>
        </row>
        <row r="39">
          <cell r="D39">
            <v>1</v>
          </cell>
          <cell r="E39">
            <v>0.9972067039106145</v>
          </cell>
          <cell r="F39"/>
          <cell r="G39"/>
          <cell r="H39"/>
          <cell r="I39"/>
          <cell r="J39"/>
          <cell r="K39"/>
          <cell r="L39"/>
          <cell r="M39"/>
          <cell r="N39"/>
          <cell r="O39"/>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cell r="Y40"/>
          <cell r="Z40"/>
          <cell r="AA40"/>
          <cell r="AB40"/>
          <cell r="AC40"/>
          <cell r="AD40"/>
          <cell r="AE40"/>
          <cell r="AF40"/>
          <cell r="AG40"/>
          <cell r="AH40">
            <v>22682</v>
          </cell>
        </row>
        <row r="41">
          <cell r="V41">
            <v>8</v>
          </cell>
          <cell r="W41">
            <v>10</v>
          </cell>
          <cell r="X41"/>
          <cell r="Y41"/>
          <cell r="Z41"/>
          <cell r="AA41"/>
          <cell r="AB41"/>
          <cell r="AC41"/>
          <cell r="AD41"/>
          <cell r="AE41"/>
          <cell r="AF41"/>
          <cell r="AG41"/>
          <cell r="AH41">
            <v>18</v>
          </cell>
        </row>
        <row r="42">
          <cell r="V42">
            <v>6.7992520822709502E-4</v>
          </cell>
          <cell r="W42">
            <v>7.6793119336507451E-4</v>
          </cell>
          <cell r="X42"/>
          <cell r="Y42"/>
          <cell r="Z42"/>
          <cell r="AA42"/>
          <cell r="AB42"/>
          <cell r="AC42"/>
          <cell r="AD42"/>
          <cell r="AE42"/>
          <cell r="AF42"/>
          <cell r="AG42"/>
          <cell r="AH42">
            <v>7.2615781829917707E-4</v>
          </cell>
        </row>
        <row r="43">
          <cell r="D43">
            <v>0.2</v>
          </cell>
          <cell r="E43">
            <v>0.2</v>
          </cell>
          <cell r="F43"/>
          <cell r="G43"/>
          <cell r="H43"/>
          <cell r="I43"/>
          <cell r="J43"/>
          <cell r="K43"/>
          <cell r="L43"/>
          <cell r="M43"/>
          <cell r="N43"/>
          <cell r="O43"/>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cell r="G44"/>
          <cell r="H44"/>
          <cell r="I44"/>
          <cell r="J44"/>
          <cell r="K44"/>
          <cell r="L44"/>
          <cell r="M44"/>
          <cell r="N44"/>
          <cell r="O44"/>
          <cell r="P44">
            <v>20710</v>
          </cell>
          <cell r="V44">
            <v>11207</v>
          </cell>
          <cell r="W44">
            <v>11758</v>
          </cell>
          <cell r="X44"/>
          <cell r="Y44"/>
          <cell r="Z44"/>
          <cell r="AA44"/>
          <cell r="AB44"/>
          <cell r="AC44"/>
          <cell r="AD44"/>
          <cell r="AE44"/>
          <cell r="AF44"/>
          <cell r="AG44"/>
          <cell r="AH44">
            <v>22965</v>
          </cell>
        </row>
        <row r="45">
          <cell r="D45">
            <v>10544</v>
          </cell>
          <cell r="E45">
            <v>10161</v>
          </cell>
          <cell r="F45"/>
          <cell r="G45"/>
          <cell r="H45"/>
          <cell r="I45"/>
          <cell r="J45"/>
          <cell r="K45"/>
          <cell r="L45"/>
          <cell r="M45"/>
          <cell r="N45"/>
          <cell r="O45"/>
          <cell r="P45">
            <v>20705</v>
          </cell>
          <cell r="V45">
            <v>8</v>
          </cell>
          <cell r="W45">
            <v>10</v>
          </cell>
          <cell r="X45"/>
          <cell r="Y45"/>
          <cell r="Z45"/>
          <cell r="AA45"/>
          <cell r="AB45"/>
          <cell r="AC45"/>
          <cell r="AD45"/>
          <cell r="AE45"/>
          <cell r="AF45"/>
          <cell r="AG45"/>
          <cell r="AH45">
            <v>18</v>
          </cell>
        </row>
        <row r="46">
          <cell r="D46">
            <v>0.99990516832622101</v>
          </cell>
          <cell r="E46">
            <v>0.99960649286768322</v>
          </cell>
          <cell r="F46"/>
          <cell r="G46"/>
          <cell r="H46"/>
          <cell r="I46"/>
          <cell r="J46"/>
          <cell r="K46"/>
          <cell r="L46"/>
          <cell r="M46"/>
          <cell r="N46"/>
          <cell r="O46"/>
          <cell r="P46">
            <v>0.9997585707387735</v>
          </cell>
          <cell r="V46">
            <v>6.547716483876248E-4</v>
          </cell>
          <cell r="W46">
            <v>7.8789788843365897E-4</v>
          </cell>
          <cell r="X46"/>
          <cell r="Y46"/>
          <cell r="Z46"/>
          <cell r="AA46"/>
          <cell r="AB46"/>
          <cell r="AC46"/>
          <cell r="AD46"/>
          <cell r="AE46"/>
          <cell r="AF46"/>
          <cell r="AG46"/>
          <cell r="AH46">
            <v>7.2260136491368923E-4</v>
          </cell>
        </row>
        <row r="47">
          <cell r="D47">
            <v>0.2</v>
          </cell>
          <cell r="E47">
            <v>0.2</v>
          </cell>
          <cell r="F47"/>
          <cell r="G47"/>
          <cell r="H47"/>
          <cell r="I47"/>
          <cell r="J47"/>
          <cell r="K47"/>
          <cell r="L47"/>
          <cell r="M47"/>
          <cell r="N47"/>
          <cell r="O47"/>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cell r="G48"/>
          <cell r="H48"/>
          <cell r="I48"/>
          <cell r="J48"/>
          <cell r="K48"/>
          <cell r="L48"/>
          <cell r="M48"/>
          <cell r="N48"/>
          <cell r="O48"/>
          <cell r="P48">
            <v>35616</v>
          </cell>
          <cell r="V48">
            <v>69110</v>
          </cell>
          <cell r="W48">
            <v>70537</v>
          </cell>
          <cell r="X48"/>
          <cell r="Y48"/>
          <cell r="Z48"/>
          <cell r="AA48"/>
          <cell r="AB48"/>
          <cell r="AC48"/>
          <cell r="AD48"/>
          <cell r="AE48"/>
          <cell r="AF48"/>
          <cell r="AG48"/>
          <cell r="AH48">
            <v>139647</v>
          </cell>
        </row>
        <row r="49">
          <cell r="D49">
            <v>17946</v>
          </cell>
          <cell r="E49">
            <v>17657</v>
          </cell>
          <cell r="F49"/>
          <cell r="G49"/>
          <cell r="H49"/>
          <cell r="I49"/>
          <cell r="J49"/>
          <cell r="K49"/>
          <cell r="L49"/>
          <cell r="M49"/>
          <cell r="N49"/>
          <cell r="O49"/>
          <cell r="P49">
            <v>35603</v>
          </cell>
          <cell r="V49">
            <v>79</v>
          </cell>
          <cell r="W49">
            <v>77</v>
          </cell>
          <cell r="X49"/>
          <cell r="Y49"/>
          <cell r="Z49"/>
          <cell r="AA49"/>
          <cell r="AB49"/>
          <cell r="AC49"/>
          <cell r="AD49"/>
          <cell r="AE49"/>
          <cell r="AF49"/>
          <cell r="AG49"/>
          <cell r="AH49">
            <v>156</v>
          </cell>
        </row>
        <row r="50">
          <cell r="D50">
            <v>0.99966577540106949</v>
          </cell>
          <cell r="E50">
            <v>0.99960371376811596</v>
          </cell>
          <cell r="F50"/>
          <cell r="G50"/>
          <cell r="H50"/>
          <cell r="I50"/>
          <cell r="J50"/>
          <cell r="K50"/>
          <cell r="L50"/>
          <cell r="M50"/>
          <cell r="N50"/>
          <cell r="O50"/>
          <cell r="P50">
            <v>0.99963499550763701</v>
          </cell>
          <cell r="V50">
            <v>1.0520988706584275E-3</v>
          </cell>
          <cell r="W50">
            <v>9.9501201767761608E-4</v>
          </cell>
          <cell r="X50"/>
          <cell r="Y50"/>
          <cell r="Z50"/>
          <cell r="AA50"/>
          <cell r="AB50"/>
          <cell r="AC50"/>
          <cell r="AD50"/>
          <cell r="AE50"/>
          <cell r="AF50"/>
          <cell r="AG50"/>
          <cell r="AH50">
            <v>1.0231252541416896E-3</v>
          </cell>
        </row>
        <row r="51">
          <cell r="D51">
            <v>0.3</v>
          </cell>
          <cell r="E51">
            <v>0.3</v>
          </cell>
          <cell r="F51"/>
          <cell r="G51"/>
          <cell r="H51"/>
          <cell r="I51"/>
          <cell r="J51"/>
          <cell r="K51"/>
          <cell r="L51"/>
          <cell r="M51"/>
          <cell r="N51"/>
          <cell r="O51"/>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cell r="G52"/>
          <cell r="H52"/>
          <cell r="I52"/>
          <cell r="J52"/>
          <cell r="K52"/>
          <cell r="L52"/>
          <cell r="M52"/>
          <cell r="N52"/>
          <cell r="O52"/>
          <cell r="P52">
            <v>37674</v>
          </cell>
        </row>
        <row r="53">
          <cell r="D53">
            <v>18584</v>
          </cell>
          <cell r="E53">
            <v>19044</v>
          </cell>
          <cell r="F53"/>
          <cell r="G53"/>
          <cell r="H53"/>
          <cell r="I53"/>
          <cell r="J53"/>
          <cell r="K53"/>
          <cell r="L53"/>
          <cell r="M53"/>
          <cell r="N53"/>
          <cell r="O53"/>
          <cell r="P53">
            <v>37628</v>
          </cell>
        </row>
        <row r="54">
          <cell r="D54">
            <v>0.99876390605686027</v>
          </cell>
          <cell r="E54">
            <v>0.99879372738238847</v>
          </cell>
          <cell r="F54"/>
          <cell r="G54"/>
          <cell r="H54"/>
          <cell r="I54"/>
          <cell r="J54"/>
          <cell r="K54"/>
          <cell r="L54"/>
          <cell r="M54"/>
          <cell r="N54"/>
          <cell r="O54"/>
          <cell r="P54">
            <v>0.99877899877899878</v>
          </cell>
          <cell r="V54">
            <v>10545</v>
          </cell>
          <cell r="W54">
            <v>10165</v>
          </cell>
          <cell r="X54"/>
          <cell r="Y54"/>
          <cell r="Z54"/>
          <cell r="AA54"/>
          <cell r="AB54"/>
          <cell r="AC54"/>
          <cell r="AD54"/>
          <cell r="AE54"/>
          <cell r="AF54"/>
          <cell r="AG54"/>
          <cell r="AH54">
            <v>20710</v>
          </cell>
        </row>
        <row r="55">
          <cell r="D55">
            <v>0.4</v>
          </cell>
          <cell r="E55">
            <v>0.3</v>
          </cell>
          <cell r="F55"/>
          <cell r="G55"/>
          <cell r="H55"/>
          <cell r="I55"/>
          <cell r="J55"/>
          <cell r="K55"/>
          <cell r="L55"/>
          <cell r="M55"/>
          <cell r="N55"/>
          <cell r="O55"/>
          <cell r="P55">
            <v>0.34761043999647295</v>
          </cell>
          <cell r="V55">
            <v>873</v>
          </cell>
          <cell r="W55">
            <v>888</v>
          </cell>
          <cell r="X55"/>
          <cell r="Y55"/>
          <cell r="Z55"/>
          <cell r="AA55"/>
          <cell r="AB55"/>
          <cell r="AC55"/>
          <cell r="AD55"/>
          <cell r="AE55"/>
          <cell r="AF55"/>
          <cell r="AG55"/>
          <cell r="AH55">
            <v>1761</v>
          </cell>
        </row>
        <row r="56">
          <cell r="D56">
            <v>10799</v>
          </cell>
          <cell r="E56">
            <v>11883</v>
          </cell>
          <cell r="F56"/>
          <cell r="G56"/>
          <cell r="H56"/>
          <cell r="I56"/>
          <cell r="J56"/>
          <cell r="K56"/>
          <cell r="L56"/>
          <cell r="M56"/>
          <cell r="N56"/>
          <cell r="O56"/>
          <cell r="P56">
            <v>22682</v>
          </cell>
          <cell r="V56">
            <v>7.6458223857067784E-2</v>
          </cell>
          <cell r="W56">
            <v>8.0340179136885917E-2</v>
          </cell>
          <cell r="X56"/>
          <cell r="Y56"/>
          <cell r="Z56"/>
          <cell r="AA56"/>
          <cell r="AB56"/>
          <cell r="AC56"/>
          <cell r="AD56"/>
          <cell r="AE56"/>
          <cell r="AF56"/>
          <cell r="AG56"/>
          <cell r="AH56">
            <v>8.5031385803959442E-2</v>
          </cell>
        </row>
        <row r="57">
          <cell r="D57">
            <v>10798</v>
          </cell>
          <cell r="E57">
            <v>11881</v>
          </cell>
          <cell r="F57"/>
          <cell r="G57"/>
          <cell r="H57"/>
          <cell r="I57"/>
          <cell r="J57"/>
          <cell r="K57"/>
          <cell r="L57"/>
          <cell r="M57"/>
          <cell r="N57"/>
          <cell r="O57"/>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cell r="G58"/>
          <cell r="H58"/>
          <cell r="I58"/>
          <cell r="J58"/>
          <cell r="K58"/>
          <cell r="L58"/>
          <cell r="M58"/>
          <cell r="N58"/>
          <cell r="O58"/>
          <cell r="P58">
            <v>0.99986773653117011</v>
          </cell>
          <cell r="V58">
            <v>18607</v>
          </cell>
          <cell r="W58">
            <v>19067</v>
          </cell>
          <cell r="X58"/>
          <cell r="Y58"/>
          <cell r="Z58"/>
          <cell r="AA58"/>
          <cell r="AB58"/>
          <cell r="AC58"/>
          <cell r="AD58"/>
          <cell r="AE58"/>
          <cell r="AF58"/>
          <cell r="AG58"/>
          <cell r="AH58">
            <v>37674</v>
          </cell>
        </row>
        <row r="59">
          <cell r="D59">
            <v>0.2</v>
          </cell>
          <cell r="E59">
            <v>0.1</v>
          </cell>
          <cell r="F59"/>
          <cell r="G59"/>
          <cell r="H59"/>
          <cell r="I59"/>
          <cell r="J59"/>
          <cell r="K59"/>
          <cell r="L59"/>
          <cell r="M59"/>
          <cell r="N59"/>
          <cell r="O59"/>
          <cell r="P59">
            <v>0.14880034835619421</v>
          </cell>
          <cell r="V59">
            <v>1703</v>
          </cell>
          <cell r="W59">
            <v>2177</v>
          </cell>
          <cell r="X59"/>
          <cell r="Y59"/>
          <cell r="Z59"/>
          <cell r="AA59"/>
          <cell r="AB59"/>
          <cell r="AC59"/>
          <cell r="AD59"/>
          <cell r="AE59"/>
          <cell r="AF59"/>
          <cell r="AG59"/>
          <cell r="AH59">
            <v>3880</v>
          </cell>
        </row>
        <row r="60">
          <cell r="D60">
            <v>11207</v>
          </cell>
          <cell r="E60">
            <v>11758</v>
          </cell>
          <cell r="F60"/>
          <cell r="G60"/>
          <cell r="H60"/>
          <cell r="I60"/>
          <cell r="J60"/>
          <cell r="K60"/>
          <cell r="L60"/>
          <cell r="M60"/>
          <cell r="N60"/>
          <cell r="O60"/>
          <cell r="P60">
            <v>22965</v>
          </cell>
          <cell r="V60">
            <v>8.385032003938947E-2</v>
          </cell>
          <cell r="W60">
            <v>0.10247599322161552</v>
          </cell>
          <cell r="X60"/>
          <cell r="Y60"/>
          <cell r="Z60"/>
          <cell r="AA60"/>
          <cell r="AB60"/>
          <cell r="AC60"/>
          <cell r="AD60"/>
          <cell r="AE60"/>
          <cell r="AF60"/>
          <cell r="AG60"/>
          <cell r="AH60">
            <v>0.10298879864097256</v>
          </cell>
        </row>
        <row r="61">
          <cell r="D61">
            <v>11205</v>
          </cell>
          <cell r="E61">
            <v>11758</v>
          </cell>
          <cell r="F61"/>
          <cell r="G61"/>
          <cell r="H61"/>
          <cell r="I61"/>
          <cell r="J61"/>
          <cell r="K61"/>
          <cell r="L61"/>
          <cell r="M61"/>
          <cell r="N61"/>
          <cell r="O61"/>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cell r="G62"/>
          <cell r="H62"/>
          <cell r="I62"/>
          <cell r="J62"/>
          <cell r="K62"/>
          <cell r="L62"/>
          <cell r="M62"/>
          <cell r="N62"/>
          <cell r="O62"/>
          <cell r="P62">
            <v>0.99991291095144785</v>
          </cell>
          <cell r="V62">
            <v>17952</v>
          </cell>
          <cell r="W62">
            <v>17664</v>
          </cell>
          <cell r="X62"/>
          <cell r="Y62"/>
          <cell r="Z62"/>
          <cell r="AA62"/>
          <cell r="AB62"/>
          <cell r="AC62"/>
          <cell r="AD62"/>
          <cell r="AE62"/>
          <cell r="AF62"/>
          <cell r="AG62"/>
          <cell r="AH62">
            <v>35616</v>
          </cell>
        </row>
        <row r="63">
          <cell r="D63">
            <v>0.2</v>
          </cell>
          <cell r="E63">
            <v>0.2</v>
          </cell>
          <cell r="F63"/>
          <cell r="G63"/>
          <cell r="H63"/>
          <cell r="I63"/>
          <cell r="J63"/>
          <cell r="K63"/>
          <cell r="L63"/>
          <cell r="M63"/>
          <cell r="N63"/>
          <cell r="O63"/>
          <cell r="P63">
            <v>0.2</v>
          </cell>
          <cell r="V63">
            <v>1424</v>
          </cell>
          <cell r="W63">
            <v>1711</v>
          </cell>
          <cell r="X63"/>
          <cell r="Y63"/>
          <cell r="Z63"/>
          <cell r="AA63"/>
          <cell r="AB63"/>
          <cell r="AC63"/>
          <cell r="AD63"/>
          <cell r="AE63"/>
          <cell r="AF63"/>
          <cell r="AG63"/>
          <cell r="AH63">
            <v>3135</v>
          </cell>
        </row>
        <row r="64">
          <cell r="D64">
            <v>69110</v>
          </cell>
          <cell r="E64">
            <v>70537</v>
          </cell>
          <cell r="F64"/>
          <cell r="G64"/>
          <cell r="H64"/>
          <cell r="I64"/>
          <cell r="J64"/>
          <cell r="K64"/>
          <cell r="L64"/>
          <cell r="M64"/>
          <cell r="N64"/>
          <cell r="O64"/>
          <cell r="P64">
            <v>139647</v>
          </cell>
          <cell r="V64">
            <v>7.3492981007431873E-2</v>
          </cell>
          <cell r="W64">
            <v>8.8309677419354846E-2</v>
          </cell>
          <cell r="X64"/>
          <cell r="Y64"/>
          <cell r="Z64"/>
          <cell r="AA64"/>
          <cell r="AB64"/>
          <cell r="AC64"/>
          <cell r="AD64"/>
          <cell r="AE64"/>
          <cell r="AF64"/>
          <cell r="AG64"/>
          <cell r="AH64">
            <v>8.8022237196765496E-2</v>
          </cell>
        </row>
        <row r="65">
          <cell r="D65">
            <v>69077</v>
          </cell>
          <cell r="E65">
            <v>70501</v>
          </cell>
          <cell r="F65"/>
          <cell r="G65"/>
          <cell r="H65"/>
          <cell r="I65"/>
          <cell r="J65"/>
          <cell r="K65"/>
          <cell r="L65"/>
          <cell r="M65"/>
          <cell r="N65"/>
          <cell r="O65"/>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cell r="G66"/>
          <cell r="H66"/>
          <cell r="I66"/>
          <cell r="J66"/>
          <cell r="K66"/>
          <cell r="L66"/>
          <cell r="M66"/>
          <cell r="N66"/>
          <cell r="O66"/>
          <cell r="P66">
            <v>0.99950589701175108</v>
          </cell>
          <cell r="V66">
            <v>10799</v>
          </cell>
          <cell r="W66">
            <v>11883</v>
          </cell>
          <cell r="X66"/>
          <cell r="Y66"/>
          <cell r="Z66"/>
          <cell r="AA66"/>
          <cell r="AB66"/>
          <cell r="AC66"/>
          <cell r="AD66"/>
          <cell r="AE66"/>
          <cell r="AF66"/>
          <cell r="AG66"/>
          <cell r="AH66">
            <v>22682</v>
          </cell>
        </row>
        <row r="67">
          <cell r="V67">
            <v>967</v>
          </cell>
          <cell r="W67">
            <v>1139</v>
          </cell>
          <cell r="X67"/>
          <cell r="Y67"/>
          <cell r="Z67"/>
          <cell r="AA67"/>
          <cell r="AB67"/>
          <cell r="AC67"/>
          <cell r="AD67"/>
          <cell r="AE67"/>
          <cell r="AF67"/>
          <cell r="AG67"/>
          <cell r="AH67">
            <v>2106</v>
          </cell>
        </row>
        <row r="68">
          <cell r="V68">
            <v>8.2185959544450113E-2</v>
          </cell>
          <cell r="W68">
            <v>8.7467362924281991E-2</v>
          </cell>
          <cell r="X68"/>
          <cell r="Y68"/>
          <cell r="Z68"/>
          <cell r="AA68"/>
          <cell r="AB68"/>
          <cell r="AC68"/>
          <cell r="AD68"/>
          <cell r="AE68"/>
          <cell r="AF68"/>
          <cell r="AG68"/>
          <cell r="AH68">
            <v>9.2848955118596241E-2</v>
          </cell>
        </row>
        <row r="69">
          <cell r="D69">
            <v>8.3333333333333329E-2</v>
          </cell>
          <cell r="E69">
            <v>8.3333333333333329E-2</v>
          </cell>
          <cell r="F69"/>
          <cell r="G69"/>
          <cell r="H69"/>
          <cell r="I69"/>
          <cell r="J69"/>
          <cell r="K69"/>
          <cell r="L69"/>
          <cell r="M69"/>
          <cell r="N69"/>
          <cell r="O69"/>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cell r="G70"/>
          <cell r="H70"/>
          <cell r="I70"/>
          <cell r="J70"/>
          <cell r="K70"/>
          <cell r="L70"/>
          <cell r="M70"/>
          <cell r="N70"/>
          <cell r="O70"/>
          <cell r="P70">
            <v>10255</v>
          </cell>
          <cell r="V70">
            <v>11207</v>
          </cell>
          <cell r="W70">
            <v>11758</v>
          </cell>
          <cell r="X70"/>
          <cell r="Y70"/>
          <cell r="Z70"/>
          <cell r="AA70"/>
          <cell r="AB70"/>
          <cell r="AC70"/>
          <cell r="AD70"/>
          <cell r="AE70"/>
          <cell r="AF70"/>
          <cell r="AG70"/>
          <cell r="AH70">
            <v>22965</v>
          </cell>
        </row>
        <row r="71">
          <cell r="D71">
            <v>4896</v>
          </cell>
          <cell r="E71">
            <v>5356</v>
          </cell>
          <cell r="F71"/>
          <cell r="G71"/>
          <cell r="H71"/>
          <cell r="I71"/>
          <cell r="J71"/>
          <cell r="K71"/>
          <cell r="L71"/>
          <cell r="M71"/>
          <cell r="N71"/>
          <cell r="O71"/>
          <cell r="P71">
            <v>10252</v>
          </cell>
          <cell r="V71">
            <v>1011</v>
          </cell>
          <cell r="W71">
            <v>934</v>
          </cell>
          <cell r="X71"/>
          <cell r="Y71"/>
          <cell r="Z71"/>
          <cell r="AA71"/>
          <cell r="AB71"/>
          <cell r="AC71"/>
          <cell r="AD71"/>
          <cell r="AE71"/>
          <cell r="AF71"/>
          <cell r="AG71"/>
          <cell r="AH71">
            <v>1945</v>
          </cell>
        </row>
        <row r="72">
          <cell r="D72">
            <v>1</v>
          </cell>
          <cell r="E72">
            <v>0.99944019406605711</v>
          </cell>
          <cell r="F72"/>
          <cell r="G72"/>
          <cell r="H72"/>
          <cell r="I72"/>
          <cell r="J72"/>
          <cell r="K72"/>
          <cell r="L72"/>
          <cell r="M72"/>
          <cell r="N72"/>
          <cell r="O72"/>
          <cell r="P72">
            <v>0.99970745977571918</v>
          </cell>
          <cell r="V72">
            <v>8.2746767064986085E-2</v>
          </cell>
          <cell r="W72">
            <v>7.3589662779703746E-2</v>
          </cell>
          <cell r="X72"/>
          <cell r="Y72"/>
          <cell r="Z72"/>
          <cell r="AA72"/>
          <cell r="AB72"/>
          <cell r="AC72"/>
          <cell r="AD72"/>
          <cell r="AE72"/>
          <cell r="AF72"/>
          <cell r="AG72"/>
          <cell r="AH72">
            <v>8.4694099716960597E-2</v>
          </cell>
        </row>
        <row r="73">
          <cell r="D73">
            <v>8.3333333333333329E-2</v>
          </cell>
          <cell r="E73">
            <v>8.3333333333333329E-2</v>
          </cell>
          <cell r="F73"/>
          <cell r="G73"/>
          <cell r="H73"/>
          <cell r="I73"/>
          <cell r="J73"/>
          <cell r="K73"/>
          <cell r="L73"/>
          <cell r="M73"/>
          <cell r="N73"/>
          <cell r="O73"/>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cell r="G74"/>
          <cell r="H74"/>
          <cell r="I74"/>
          <cell r="J74"/>
          <cell r="K74"/>
          <cell r="L74"/>
          <cell r="M74"/>
          <cell r="N74"/>
          <cell r="O74"/>
          <cell r="P74">
            <v>16433</v>
          </cell>
          <cell r="V74">
            <v>69110</v>
          </cell>
          <cell r="W74">
            <v>70537</v>
          </cell>
          <cell r="X74"/>
          <cell r="Y74"/>
          <cell r="Z74"/>
          <cell r="AA74"/>
          <cell r="AB74"/>
          <cell r="AC74"/>
          <cell r="AD74"/>
          <cell r="AE74"/>
          <cell r="AF74"/>
          <cell r="AG74"/>
          <cell r="AH74">
            <v>139647</v>
          </cell>
        </row>
        <row r="75">
          <cell r="D75">
            <v>7595</v>
          </cell>
          <cell r="E75">
            <v>8815</v>
          </cell>
          <cell r="F75"/>
          <cell r="G75"/>
          <cell r="H75"/>
          <cell r="I75"/>
          <cell r="J75"/>
          <cell r="K75"/>
          <cell r="L75"/>
          <cell r="M75"/>
          <cell r="N75"/>
          <cell r="O75"/>
          <cell r="P75">
            <v>16410</v>
          </cell>
          <cell r="V75">
            <v>5978</v>
          </cell>
          <cell r="W75">
            <v>6849</v>
          </cell>
          <cell r="X75"/>
          <cell r="Y75"/>
          <cell r="Z75"/>
          <cell r="AA75"/>
          <cell r="AB75"/>
          <cell r="AC75"/>
          <cell r="AD75"/>
          <cell r="AE75"/>
          <cell r="AF75"/>
          <cell r="AG75"/>
          <cell r="AH75">
            <v>12827</v>
          </cell>
        </row>
        <row r="76">
          <cell r="D76">
            <v>0.99829127234490012</v>
          </cell>
          <cell r="E76">
            <v>0.99886685552407928</v>
          </cell>
          <cell r="F76"/>
          <cell r="G76"/>
          <cell r="H76"/>
          <cell r="I76"/>
          <cell r="J76"/>
          <cell r="K76"/>
          <cell r="L76"/>
          <cell r="M76"/>
          <cell r="N76"/>
          <cell r="O76"/>
          <cell r="P76">
            <v>0.99860037728960016</v>
          </cell>
          <cell r="V76">
            <v>7.9613253782228846E-2</v>
          </cell>
          <cell r="W76">
            <v>8.8504380637324576E-2</v>
          </cell>
          <cell r="X76"/>
          <cell r="Y76"/>
          <cell r="Z76"/>
          <cell r="AA76"/>
          <cell r="AB76"/>
          <cell r="AC76"/>
          <cell r="AD76"/>
          <cell r="AE76"/>
          <cell r="AF76"/>
          <cell r="AG76"/>
          <cell r="AH76">
            <v>9.1853029424190991E-2</v>
          </cell>
        </row>
        <row r="77">
          <cell r="D77">
            <v>8.3333333333333329E-2</v>
          </cell>
          <cell r="E77">
            <v>8.3333333333333329E-2</v>
          </cell>
          <cell r="F77"/>
          <cell r="G77"/>
          <cell r="H77"/>
          <cell r="I77"/>
          <cell r="J77"/>
          <cell r="K77"/>
          <cell r="L77"/>
          <cell r="M77"/>
          <cell r="N77"/>
          <cell r="O77"/>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cell r="G78"/>
          <cell r="H78"/>
          <cell r="I78"/>
          <cell r="J78"/>
          <cell r="K78"/>
          <cell r="L78"/>
          <cell r="M78"/>
          <cell r="N78"/>
          <cell r="O78"/>
          <cell r="P78">
            <v>19198</v>
          </cell>
        </row>
        <row r="79">
          <cell r="D79">
            <v>8930</v>
          </cell>
          <cell r="E79">
            <v>10259</v>
          </cell>
          <cell r="F79"/>
          <cell r="G79"/>
          <cell r="H79"/>
          <cell r="I79"/>
          <cell r="J79"/>
          <cell r="K79"/>
          <cell r="L79"/>
          <cell r="M79"/>
          <cell r="N79"/>
          <cell r="O79"/>
          <cell r="P79">
            <v>19189</v>
          </cell>
        </row>
        <row r="80">
          <cell r="D80">
            <v>0.99944040290990488</v>
          </cell>
          <cell r="E80">
            <v>0.99961025041410889</v>
          </cell>
          <cell r="F80"/>
          <cell r="G80"/>
          <cell r="H80"/>
          <cell r="I80"/>
          <cell r="J80"/>
          <cell r="K80"/>
          <cell r="L80"/>
          <cell r="M80"/>
          <cell r="N80"/>
          <cell r="O80"/>
          <cell r="P80">
            <v>0.99953120116678817</v>
          </cell>
        </row>
        <row r="81">
          <cell r="D81">
            <v>8.3333333333333329E-2</v>
          </cell>
          <cell r="E81">
            <v>8.3333333333333329E-2</v>
          </cell>
          <cell r="F81"/>
          <cell r="G81"/>
          <cell r="H81"/>
          <cell r="I81"/>
          <cell r="J81"/>
          <cell r="K81"/>
          <cell r="L81"/>
          <cell r="M81"/>
          <cell r="N81"/>
          <cell r="O81"/>
          <cell r="P81">
            <v>8.3333333333333329E-2</v>
          </cell>
        </row>
        <row r="82">
          <cell r="D82">
            <v>4354</v>
          </cell>
          <cell r="E82">
            <v>5231</v>
          </cell>
          <cell r="F82"/>
          <cell r="G82"/>
          <cell r="H82"/>
          <cell r="I82"/>
          <cell r="J82"/>
          <cell r="K82"/>
          <cell r="L82"/>
          <cell r="M82"/>
          <cell r="N82"/>
          <cell r="O82"/>
          <cell r="P82">
            <v>9585</v>
          </cell>
        </row>
        <row r="83">
          <cell r="D83">
            <v>4353</v>
          </cell>
          <cell r="E83">
            <v>5228</v>
          </cell>
          <cell r="F83"/>
          <cell r="G83"/>
          <cell r="H83"/>
          <cell r="I83"/>
          <cell r="J83"/>
          <cell r="K83"/>
          <cell r="L83"/>
          <cell r="M83"/>
          <cell r="N83"/>
          <cell r="O83"/>
          <cell r="P83">
            <v>9581</v>
          </cell>
        </row>
        <row r="84">
          <cell r="D84">
            <v>0.99977032613688566</v>
          </cell>
          <cell r="E84">
            <v>0.99942649588988719</v>
          </cell>
          <cell r="F84"/>
          <cell r="G84"/>
          <cell r="H84"/>
          <cell r="I84"/>
          <cell r="J84"/>
          <cell r="K84"/>
          <cell r="L84"/>
          <cell r="M84"/>
          <cell r="N84"/>
          <cell r="O84"/>
          <cell r="P84">
            <v>0.99958268127282213</v>
          </cell>
        </row>
        <row r="85">
          <cell r="D85">
            <v>8.3333333333333329E-2</v>
          </cell>
          <cell r="E85">
            <v>8.3333333333333329E-2</v>
          </cell>
          <cell r="F85"/>
          <cell r="G85"/>
          <cell r="H85"/>
          <cell r="I85"/>
          <cell r="J85"/>
          <cell r="K85"/>
          <cell r="L85"/>
          <cell r="M85"/>
          <cell r="N85"/>
          <cell r="O85"/>
          <cell r="P85">
            <v>8.3333333333333329E-2</v>
          </cell>
        </row>
        <row r="86">
          <cell r="D86">
            <v>4628</v>
          </cell>
          <cell r="E86">
            <v>6140</v>
          </cell>
          <cell r="F86"/>
          <cell r="G86"/>
          <cell r="H86"/>
          <cell r="I86"/>
          <cell r="J86"/>
          <cell r="K86"/>
          <cell r="L86"/>
          <cell r="M86"/>
          <cell r="N86"/>
          <cell r="O86"/>
          <cell r="P86">
            <v>10768</v>
          </cell>
        </row>
        <row r="87">
          <cell r="D87">
            <v>4628</v>
          </cell>
          <cell r="E87">
            <v>6139</v>
          </cell>
          <cell r="F87"/>
          <cell r="G87"/>
          <cell r="H87"/>
          <cell r="I87"/>
          <cell r="J87"/>
          <cell r="K87"/>
          <cell r="L87"/>
          <cell r="M87"/>
          <cell r="N87"/>
          <cell r="O87"/>
          <cell r="P87">
            <v>10767</v>
          </cell>
        </row>
        <row r="88">
          <cell r="D88">
            <v>1</v>
          </cell>
          <cell r="E88">
            <v>0.99983713355048864</v>
          </cell>
          <cell r="F88"/>
          <cell r="G88"/>
          <cell r="H88"/>
          <cell r="I88"/>
          <cell r="J88"/>
          <cell r="K88"/>
          <cell r="L88"/>
          <cell r="M88"/>
          <cell r="N88"/>
          <cell r="O88"/>
          <cell r="P88">
            <v>0.99990713224368499</v>
          </cell>
        </row>
        <row r="89">
          <cell r="D89">
            <v>8.3333333333333329E-2</v>
          </cell>
          <cell r="E89">
            <v>8.3333333333333329E-2</v>
          </cell>
          <cell r="F89"/>
          <cell r="G89"/>
          <cell r="H89"/>
          <cell r="I89"/>
          <cell r="J89"/>
          <cell r="K89"/>
          <cell r="L89"/>
          <cell r="M89"/>
          <cell r="N89"/>
          <cell r="O89"/>
          <cell r="P89">
            <v>8.3333333333333329E-2</v>
          </cell>
        </row>
        <row r="90">
          <cell r="D90">
            <v>30421</v>
          </cell>
          <cell r="E90">
            <v>35818</v>
          </cell>
          <cell r="F90"/>
          <cell r="G90"/>
          <cell r="H90"/>
          <cell r="I90"/>
          <cell r="J90"/>
          <cell r="K90"/>
          <cell r="L90"/>
          <cell r="M90"/>
          <cell r="N90"/>
          <cell r="O90"/>
          <cell r="P90">
            <v>66239</v>
          </cell>
        </row>
        <row r="91">
          <cell r="D91">
            <v>30402</v>
          </cell>
          <cell r="E91">
            <v>35797</v>
          </cell>
          <cell r="F91"/>
          <cell r="G91"/>
          <cell r="H91"/>
          <cell r="I91"/>
          <cell r="J91"/>
          <cell r="K91"/>
          <cell r="L91"/>
          <cell r="M91"/>
          <cell r="N91"/>
          <cell r="O91"/>
          <cell r="P91">
            <v>66199</v>
          </cell>
        </row>
        <row r="92">
          <cell r="D92">
            <v>0.9993754314453831</v>
          </cell>
          <cell r="E92">
            <v>0.99941370260762741</v>
          </cell>
          <cell r="F92"/>
          <cell r="G92"/>
          <cell r="H92"/>
          <cell r="I92"/>
          <cell r="J92"/>
          <cell r="K92"/>
          <cell r="L92"/>
          <cell r="M92"/>
          <cell r="N92"/>
          <cell r="O92"/>
          <cell r="P92">
            <v>0.99939612614924744</v>
          </cell>
        </row>
        <row r="95">
          <cell r="D95">
            <v>1</v>
          </cell>
          <cell r="E95">
            <v>1</v>
          </cell>
          <cell r="F95"/>
          <cell r="G95"/>
          <cell r="H95"/>
          <cell r="I95"/>
          <cell r="J95"/>
          <cell r="K95"/>
          <cell r="L95"/>
          <cell r="M95"/>
          <cell r="N95"/>
          <cell r="O95"/>
          <cell r="P95">
            <v>1</v>
          </cell>
        </row>
        <row r="96">
          <cell r="D96">
            <v>1226</v>
          </cell>
          <cell r="E96">
            <v>1327</v>
          </cell>
          <cell r="F96"/>
          <cell r="G96"/>
          <cell r="H96"/>
          <cell r="I96"/>
          <cell r="J96"/>
          <cell r="K96"/>
          <cell r="L96"/>
          <cell r="M96"/>
          <cell r="N96"/>
          <cell r="O96"/>
          <cell r="P96">
            <v>2553</v>
          </cell>
        </row>
        <row r="97">
          <cell r="D97">
            <v>1226</v>
          </cell>
          <cell r="E97">
            <v>1327</v>
          </cell>
          <cell r="F97"/>
          <cell r="G97"/>
          <cell r="H97"/>
          <cell r="I97"/>
          <cell r="J97"/>
          <cell r="K97"/>
          <cell r="L97"/>
          <cell r="M97"/>
          <cell r="N97"/>
          <cell r="O97"/>
          <cell r="P97">
            <v>2553</v>
          </cell>
        </row>
        <row r="98">
          <cell r="D98">
            <v>1</v>
          </cell>
          <cell r="E98">
            <v>1</v>
          </cell>
          <cell r="F98"/>
          <cell r="G98"/>
          <cell r="H98"/>
          <cell r="I98"/>
          <cell r="J98"/>
          <cell r="K98"/>
          <cell r="L98"/>
          <cell r="M98"/>
          <cell r="N98"/>
          <cell r="O98"/>
          <cell r="P98">
            <v>1</v>
          </cell>
        </row>
        <row r="99">
          <cell r="D99">
            <v>0.7</v>
          </cell>
          <cell r="E99">
            <v>0.7</v>
          </cell>
          <cell r="F99"/>
          <cell r="G99"/>
          <cell r="H99"/>
          <cell r="I99"/>
          <cell r="J99"/>
          <cell r="K99"/>
          <cell r="L99"/>
          <cell r="M99"/>
          <cell r="N99"/>
          <cell r="O99"/>
          <cell r="P99">
            <v>0.7</v>
          </cell>
        </row>
        <row r="100">
          <cell r="D100">
            <v>2168</v>
          </cell>
          <cell r="E100">
            <v>1556</v>
          </cell>
          <cell r="F100"/>
          <cell r="G100"/>
          <cell r="H100"/>
          <cell r="I100"/>
          <cell r="J100"/>
          <cell r="K100"/>
          <cell r="L100"/>
          <cell r="M100"/>
          <cell r="N100"/>
          <cell r="O100"/>
          <cell r="P100">
            <v>3724</v>
          </cell>
        </row>
        <row r="101">
          <cell r="D101">
            <v>2168</v>
          </cell>
          <cell r="E101">
            <v>1556</v>
          </cell>
          <cell r="F101"/>
          <cell r="G101"/>
          <cell r="H101"/>
          <cell r="I101"/>
          <cell r="J101"/>
          <cell r="K101"/>
          <cell r="L101"/>
          <cell r="M101"/>
          <cell r="N101"/>
          <cell r="O101"/>
          <cell r="P101">
            <v>3724</v>
          </cell>
        </row>
        <row r="102">
          <cell r="D102">
            <v>1</v>
          </cell>
          <cell r="E102">
            <v>1</v>
          </cell>
          <cell r="F102"/>
          <cell r="G102"/>
          <cell r="H102"/>
          <cell r="I102"/>
          <cell r="J102"/>
          <cell r="K102"/>
          <cell r="L102"/>
          <cell r="M102"/>
          <cell r="N102"/>
          <cell r="O102"/>
          <cell r="P102">
            <v>1</v>
          </cell>
        </row>
        <row r="103">
          <cell r="D103">
            <v>0.6</v>
          </cell>
          <cell r="E103">
            <v>0.52082777036048056</v>
          </cell>
          <cell r="F103"/>
          <cell r="G103"/>
          <cell r="H103"/>
          <cell r="I103"/>
          <cell r="J103"/>
          <cell r="K103"/>
          <cell r="L103"/>
          <cell r="M103"/>
          <cell r="N103"/>
          <cell r="O103"/>
          <cell r="P103">
            <v>0.56407149348682217</v>
          </cell>
        </row>
        <row r="104">
          <cell r="D104">
            <v>1803</v>
          </cell>
          <cell r="E104">
            <v>1498</v>
          </cell>
          <cell r="F104"/>
          <cell r="G104"/>
          <cell r="H104"/>
          <cell r="I104"/>
          <cell r="J104"/>
          <cell r="K104"/>
          <cell r="L104"/>
          <cell r="M104"/>
          <cell r="N104"/>
          <cell r="O104"/>
          <cell r="P104">
            <v>3301</v>
          </cell>
        </row>
        <row r="105">
          <cell r="D105">
            <v>1803</v>
          </cell>
          <cell r="E105">
            <v>1498</v>
          </cell>
          <cell r="F105"/>
          <cell r="G105"/>
          <cell r="H105"/>
          <cell r="I105"/>
          <cell r="J105"/>
          <cell r="K105"/>
          <cell r="L105"/>
          <cell r="M105"/>
          <cell r="N105"/>
          <cell r="O105"/>
          <cell r="P105">
            <v>3301</v>
          </cell>
        </row>
        <row r="106">
          <cell r="D106">
            <v>1</v>
          </cell>
          <cell r="E106">
            <v>1</v>
          </cell>
          <cell r="F106"/>
          <cell r="G106"/>
          <cell r="H106"/>
          <cell r="I106"/>
          <cell r="J106"/>
          <cell r="K106"/>
          <cell r="L106"/>
          <cell r="M106"/>
          <cell r="N106"/>
          <cell r="O106"/>
          <cell r="P106">
            <v>1</v>
          </cell>
        </row>
        <row r="107">
          <cell r="D107">
            <v>0.7</v>
          </cell>
          <cell r="E107">
            <v>0.7</v>
          </cell>
          <cell r="F107"/>
          <cell r="G107"/>
          <cell r="H107"/>
          <cell r="I107"/>
          <cell r="J107"/>
          <cell r="K107"/>
          <cell r="L107"/>
          <cell r="M107"/>
          <cell r="N107"/>
          <cell r="O107"/>
          <cell r="P107">
            <v>0.70000000000000007</v>
          </cell>
        </row>
        <row r="108">
          <cell r="D108">
            <v>1720</v>
          </cell>
          <cell r="E108">
            <v>1404</v>
          </cell>
          <cell r="F108"/>
          <cell r="G108"/>
          <cell r="H108"/>
          <cell r="I108"/>
          <cell r="J108"/>
          <cell r="K108"/>
          <cell r="L108"/>
          <cell r="M108"/>
          <cell r="N108"/>
          <cell r="O108"/>
          <cell r="P108">
            <v>3124</v>
          </cell>
        </row>
        <row r="109">
          <cell r="D109">
            <v>1719</v>
          </cell>
          <cell r="E109">
            <v>1402</v>
          </cell>
          <cell r="F109"/>
          <cell r="G109"/>
          <cell r="H109"/>
          <cell r="I109"/>
          <cell r="J109"/>
          <cell r="K109"/>
          <cell r="L109"/>
          <cell r="M109"/>
          <cell r="N109"/>
          <cell r="O109"/>
          <cell r="P109">
            <v>3121</v>
          </cell>
        </row>
        <row r="110">
          <cell r="D110">
            <v>0.99941860465116283</v>
          </cell>
          <cell r="E110">
            <v>0.99857549857549854</v>
          </cell>
          <cell r="F110"/>
          <cell r="G110"/>
          <cell r="H110"/>
          <cell r="I110"/>
          <cell r="J110"/>
          <cell r="K110"/>
          <cell r="L110"/>
          <cell r="M110"/>
          <cell r="N110"/>
          <cell r="O110"/>
          <cell r="P110">
            <v>0.99903969270166448</v>
          </cell>
        </row>
        <row r="111">
          <cell r="D111">
            <v>0.7</v>
          </cell>
          <cell r="E111">
            <v>0.7</v>
          </cell>
          <cell r="F111"/>
          <cell r="G111"/>
          <cell r="H111"/>
          <cell r="I111"/>
          <cell r="J111"/>
          <cell r="K111"/>
          <cell r="L111"/>
          <cell r="M111"/>
          <cell r="N111"/>
          <cell r="O111"/>
          <cell r="P111">
            <v>0.7</v>
          </cell>
        </row>
        <row r="112">
          <cell r="D112">
            <v>1641</v>
          </cell>
          <cell r="E112">
            <v>1818</v>
          </cell>
          <cell r="F112"/>
          <cell r="G112"/>
          <cell r="H112"/>
          <cell r="I112"/>
          <cell r="J112"/>
          <cell r="K112"/>
          <cell r="L112"/>
          <cell r="M112"/>
          <cell r="N112"/>
          <cell r="O112"/>
          <cell r="P112">
            <v>3459</v>
          </cell>
        </row>
        <row r="113">
          <cell r="D113">
            <v>1641</v>
          </cell>
          <cell r="E113">
            <v>1818</v>
          </cell>
          <cell r="F113"/>
          <cell r="G113"/>
          <cell r="H113"/>
          <cell r="I113"/>
          <cell r="J113"/>
          <cell r="K113"/>
          <cell r="L113"/>
          <cell r="M113"/>
          <cell r="N113"/>
          <cell r="O113"/>
          <cell r="P113">
            <v>3459</v>
          </cell>
        </row>
        <row r="114">
          <cell r="D114">
            <v>1</v>
          </cell>
          <cell r="E114">
            <v>1</v>
          </cell>
          <cell r="F114"/>
          <cell r="G114"/>
          <cell r="H114"/>
          <cell r="I114"/>
          <cell r="J114"/>
          <cell r="K114"/>
          <cell r="L114"/>
          <cell r="M114"/>
          <cell r="N114"/>
          <cell r="O114"/>
          <cell r="P114">
            <v>1</v>
          </cell>
        </row>
        <row r="115">
          <cell r="D115">
            <v>0.7</v>
          </cell>
          <cell r="E115">
            <v>0.7</v>
          </cell>
          <cell r="F115"/>
          <cell r="G115"/>
          <cell r="H115"/>
          <cell r="I115"/>
          <cell r="J115"/>
          <cell r="K115"/>
          <cell r="L115"/>
          <cell r="M115"/>
          <cell r="N115"/>
          <cell r="O115"/>
          <cell r="P115">
            <v>0.7</v>
          </cell>
        </row>
        <row r="116">
          <cell r="D116">
            <v>8558</v>
          </cell>
          <cell r="E116">
            <v>7603</v>
          </cell>
          <cell r="F116"/>
          <cell r="G116"/>
          <cell r="H116"/>
          <cell r="I116"/>
          <cell r="J116"/>
          <cell r="K116"/>
          <cell r="L116"/>
          <cell r="M116"/>
          <cell r="N116"/>
          <cell r="O116"/>
          <cell r="P116">
            <v>16161</v>
          </cell>
        </row>
        <row r="117">
          <cell r="D117">
            <v>8557</v>
          </cell>
          <cell r="E117">
            <v>7601</v>
          </cell>
          <cell r="F117"/>
          <cell r="G117"/>
          <cell r="H117"/>
          <cell r="I117"/>
          <cell r="J117"/>
          <cell r="K117"/>
          <cell r="L117"/>
          <cell r="M117"/>
          <cell r="N117"/>
          <cell r="O117"/>
          <cell r="P117">
            <v>16158</v>
          </cell>
        </row>
        <row r="118">
          <cell r="D118">
            <v>0.99988315026875441</v>
          </cell>
          <cell r="E118">
            <v>0.99973694594239115</v>
          </cell>
          <cell r="F118"/>
          <cell r="G118"/>
          <cell r="H118"/>
          <cell r="I118"/>
          <cell r="J118"/>
          <cell r="K118"/>
          <cell r="L118"/>
          <cell r="M118"/>
          <cell r="N118"/>
          <cell r="O118"/>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cell r="I3"/>
          <cell r="J3"/>
          <cell r="K3"/>
          <cell r="L3"/>
          <cell r="M3"/>
          <cell r="N3"/>
          <cell r="O3"/>
          <cell r="P3"/>
          <cell r="Q3"/>
        </row>
        <row r="4">
          <cell r="F4">
            <v>606</v>
          </cell>
          <cell r="G4">
            <v>761</v>
          </cell>
          <cell r="H4"/>
          <cell r="I4"/>
          <cell r="J4"/>
          <cell r="K4"/>
          <cell r="L4"/>
          <cell r="M4"/>
          <cell r="N4"/>
          <cell r="O4"/>
          <cell r="P4"/>
          <cell r="Q4"/>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cell r="F4"/>
          <cell r="G4"/>
          <cell r="H4"/>
          <cell r="I4"/>
          <cell r="J4"/>
          <cell r="K4"/>
          <cell r="L4"/>
          <cell r="M4"/>
          <cell r="N4"/>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cell r="F5"/>
          <cell r="G5"/>
          <cell r="H5"/>
          <cell r="I5"/>
          <cell r="J5"/>
          <cell r="K5"/>
          <cell r="L5"/>
          <cell r="M5"/>
          <cell r="N5"/>
          <cell r="O5"/>
        </row>
        <row r="6">
          <cell r="C6">
            <v>0.98</v>
          </cell>
          <cell r="D6">
            <v>0.98199999999999998</v>
          </cell>
          <cell r="E6"/>
          <cell r="F6"/>
          <cell r="G6"/>
          <cell r="H6"/>
          <cell r="I6"/>
          <cell r="J6"/>
          <cell r="K6"/>
          <cell r="L6"/>
          <cell r="M6"/>
          <cell r="N6"/>
          <cell r="O6"/>
        </row>
        <row r="7">
          <cell r="C7">
            <v>0.81</v>
          </cell>
          <cell r="D7">
            <v>0.94199999999999995</v>
          </cell>
          <cell r="E7"/>
          <cell r="F7"/>
          <cell r="G7"/>
          <cell r="H7"/>
          <cell r="I7"/>
          <cell r="J7"/>
          <cell r="K7"/>
          <cell r="L7"/>
          <cell r="M7"/>
          <cell r="N7"/>
          <cell r="O7"/>
        </row>
        <row r="8">
          <cell r="C8">
            <v>0.67400000000000004</v>
          </cell>
          <cell r="D8">
            <v>0.86399999999999999</v>
          </cell>
          <cell r="E8"/>
          <cell r="F8"/>
          <cell r="G8"/>
          <cell r="H8"/>
          <cell r="I8"/>
          <cell r="J8"/>
          <cell r="K8"/>
          <cell r="L8"/>
          <cell r="M8"/>
          <cell r="N8"/>
          <cell r="O8"/>
        </row>
        <row r="9">
          <cell r="C9">
            <v>0.97</v>
          </cell>
          <cell r="D9">
            <v>0.97799999999999998</v>
          </cell>
          <cell r="E9"/>
          <cell r="F9"/>
          <cell r="G9"/>
          <cell r="H9"/>
          <cell r="I9"/>
          <cell r="J9"/>
          <cell r="K9"/>
          <cell r="L9"/>
          <cell r="M9"/>
          <cell r="N9"/>
          <cell r="O9"/>
        </row>
        <row r="10">
          <cell r="C10">
            <v>0.89</v>
          </cell>
          <cell r="D10">
            <v>0.89</v>
          </cell>
          <cell r="E10"/>
          <cell r="F10"/>
          <cell r="G10"/>
          <cell r="H10"/>
          <cell r="I10"/>
          <cell r="J10"/>
          <cell r="K10"/>
          <cell r="L10"/>
          <cell r="M10"/>
          <cell r="N10"/>
          <cell r="O10"/>
        </row>
        <row r="11">
          <cell r="C11">
            <v>0.90700000000000003</v>
          </cell>
          <cell r="D11">
            <v>0.92</v>
          </cell>
          <cell r="E11"/>
          <cell r="F11"/>
          <cell r="G11"/>
          <cell r="H11"/>
          <cell r="I11"/>
          <cell r="J11"/>
          <cell r="K11"/>
          <cell r="L11"/>
          <cell r="M11"/>
          <cell r="N11"/>
          <cell r="O11"/>
        </row>
        <row r="12">
          <cell r="C12">
            <v>0.89200000000000002</v>
          </cell>
          <cell r="D12">
            <v>0.87</v>
          </cell>
          <cell r="E12"/>
          <cell r="F12"/>
          <cell r="G12"/>
          <cell r="H12"/>
          <cell r="I12"/>
          <cell r="J12"/>
          <cell r="K12"/>
          <cell r="L12"/>
          <cell r="M12"/>
          <cell r="N12"/>
          <cell r="O12"/>
        </row>
        <row r="13">
          <cell r="C13">
            <v>0.79679999999999995</v>
          </cell>
          <cell r="D13">
            <v>0.92500000000000004</v>
          </cell>
          <cell r="E13"/>
          <cell r="F13"/>
          <cell r="G13"/>
          <cell r="H13"/>
          <cell r="I13"/>
          <cell r="J13"/>
          <cell r="K13"/>
          <cell r="L13"/>
          <cell r="M13"/>
          <cell r="N13"/>
          <cell r="O13"/>
        </row>
        <row r="14">
          <cell r="C14">
            <v>0.81499999999999995</v>
          </cell>
          <cell r="D14">
            <v>0.89400000000000002</v>
          </cell>
          <cell r="E14"/>
          <cell r="F14"/>
          <cell r="G14"/>
          <cell r="H14"/>
          <cell r="I14"/>
          <cell r="J14"/>
          <cell r="K14"/>
          <cell r="L14"/>
          <cell r="M14"/>
          <cell r="N14"/>
          <cell r="O14"/>
        </row>
        <row r="15">
          <cell r="C15">
            <v>0.88029999999999997</v>
          </cell>
          <cell r="D15">
            <v>0.88</v>
          </cell>
          <cell r="E15"/>
          <cell r="F15"/>
          <cell r="G15"/>
          <cell r="H15"/>
          <cell r="I15"/>
          <cell r="J15"/>
          <cell r="K15"/>
          <cell r="L15"/>
          <cell r="M15"/>
          <cell r="N15"/>
          <cell r="O15"/>
        </row>
        <row r="16">
          <cell r="C16">
            <v>0.88900000000000001</v>
          </cell>
          <cell r="D16">
            <v>0.92</v>
          </cell>
          <cell r="E16"/>
          <cell r="F16"/>
          <cell r="G16"/>
          <cell r="H16"/>
          <cell r="I16"/>
          <cell r="J16"/>
          <cell r="K16"/>
          <cell r="L16"/>
          <cell r="M16"/>
          <cell r="N16"/>
          <cell r="O16"/>
        </row>
        <row r="17">
          <cell r="C17">
            <v>0.81499999999999995</v>
          </cell>
          <cell r="D17">
            <v>0.88500000000000001</v>
          </cell>
          <cell r="E17"/>
          <cell r="F17"/>
          <cell r="G17"/>
          <cell r="H17"/>
          <cell r="I17"/>
          <cell r="J17"/>
          <cell r="K17"/>
          <cell r="L17"/>
          <cell r="M17"/>
          <cell r="N17"/>
          <cell r="O17"/>
        </row>
        <row r="18">
          <cell r="C18">
            <v>0.89559999999999995</v>
          </cell>
          <cell r="D18">
            <v>0.82799999999999996</v>
          </cell>
          <cell r="E18"/>
          <cell r="F18"/>
          <cell r="G18"/>
          <cell r="H18"/>
          <cell r="I18"/>
          <cell r="J18"/>
          <cell r="K18"/>
          <cell r="L18"/>
          <cell r="M18"/>
          <cell r="N18"/>
          <cell r="O18"/>
        </row>
        <row r="19">
          <cell r="C19">
            <v>0.7782</v>
          </cell>
          <cell r="D19">
            <v>0.80600000000000005</v>
          </cell>
          <cell r="E19"/>
          <cell r="F19"/>
          <cell r="G19"/>
          <cell r="H19"/>
          <cell r="I19"/>
          <cell r="J19"/>
          <cell r="K19"/>
          <cell r="L19"/>
          <cell r="M19"/>
          <cell r="N19"/>
          <cell r="O19"/>
        </row>
        <row r="20">
          <cell r="C20">
            <v>0.85150000000000003</v>
          </cell>
          <cell r="D20">
            <v>0.89600000000000002</v>
          </cell>
          <cell r="E20"/>
          <cell r="F20"/>
          <cell r="G20"/>
          <cell r="H20"/>
          <cell r="I20"/>
          <cell r="J20"/>
          <cell r="K20"/>
          <cell r="L20"/>
          <cell r="M20"/>
          <cell r="N20"/>
          <cell r="O20"/>
        </row>
        <row r="21">
          <cell r="C21">
            <v>0.89549999999999996</v>
          </cell>
          <cell r="D21">
            <v>0.92</v>
          </cell>
          <cell r="E21"/>
          <cell r="F21"/>
          <cell r="G21"/>
          <cell r="H21"/>
          <cell r="I21"/>
          <cell r="J21"/>
          <cell r="K21"/>
          <cell r="L21"/>
          <cell r="M21"/>
          <cell r="N21"/>
          <cell r="O21"/>
        </row>
        <row r="22">
          <cell r="C22"/>
          <cell r="D22"/>
          <cell r="E22"/>
          <cell r="F22"/>
          <cell r="G22"/>
          <cell r="H22"/>
          <cell r="I22"/>
          <cell r="J22"/>
          <cell r="K22"/>
          <cell r="L22"/>
          <cell r="M22"/>
          <cell r="N22"/>
          <cell r="O22"/>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cell r="E4"/>
          <cell r="F4"/>
          <cell r="G4"/>
          <cell r="H4"/>
          <cell r="I4"/>
          <cell r="J4"/>
          <cell r="K4"/>
          <cell r="L4"/>
          <cell r="M4"/>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cell r="E10"/>
          <cell r="F10"/>
          <cell r="G10"/>
          <cell r="H10"/>
          <cell r="I10"/>
          <cell r="J10"/>
          <cell r="K10"/>
          <cell r="L10"/>
          <cell r="M10"/>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cell r="E15"/>
          <cell r="F15"/>
          <cell r="G15"/>
          <cell r="H15"/>
          <cell r="I15"/>
          <cell r="J15"/>
          <cell r="K15"/>
          <cell r="L15"/>
          <cell r="M15"/>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cell r="G2"/>
          <cell r="H2"/>
          <cell r="I2"/>
          <cell r="J2"/>
          <cell r="K2"/>
          <cell r="L2"/>
          <cell r="M2"/>
          <cell r="N2"/>
          <cell r="O2"/>
          <cell r="P2"/>
        </row>
        <row r="3">
          <cell r="D3">
            <v>7.5231481481481477E-3</v>
          </cell>
          <cell r="E3">
            <v>6.1921296296296299E-3</v>
          </cell>
          <cell r="F3"/>
          <cell r="G3"/>
          <cell r="H3"/>
          <cell r="I3"/>
          <cell r="J3"/>
          <cell r="K3"/>
          <cell r="L3"/>
          <cell r="M3"/>
          <cell r="N3"/>
          <cell r="O3"/>
          <cell r="P3"/>
        </row>
        <row r="4">
          <cell r="D4">
            <v>4.6412037037037038E-3</v>
          </cell>
          <cell r="E4">
            <v>5.0925925925925921E-3</v>
          </cell>
          <cell r="F4"/>
          <cell r="G4"/>
          <cell r="H4"/>
          <cell r="I4"/>
          <cell r="J4"/>
          <cell r="K4"/>
          <cell r="L4"/>
          <cell r="M4"/>
          <cell r="N4"/>
          <cell r="O4"/>
          <cell r="P4"/>
        </row>
        <row r="5">
          <cell r="D5">
            <v>7.5462962962962966E-3</v>
          </cell>
          <cell r="E5">
            <v>6.7129629629629622E-3</v>
          </cell>
          <cell r="F5"/>
          <cell r="G5"/>
          <cell r="H5"/>
          <cell r="I5"/>
          <cell r="J5"/>
          <cell r="K5"/>
          <cell r="L5"/>
          <cell r="M5"/>
          <cell r="N5"/>
          <cell r="O5"/>
          <cell r="P5"/>
        </row>
        <row r="6">
          <cell r="D6">
            <v>5.4976851851851853E-3</v>
          </cell>
          <cell r="E6">
            <v>4.9884259259259265E-3</v>
          </cell>
          <cell r="F6"/>
          <cell r="G6"/>
          <cell r="H6"/>
          <cell r="I6"/>
          <cell r="J6"/>
          <cell r="K6"/>
          <cell r="L6"/>
          <cell r="M6"/>
          <cell r="N6"/>
          <cell r="O6"/>
          <cell r="P6"/>
        </row>
        <row r="7">
          <cell r="D7">
            <v>6.3425925925925915E-3</v>
          </cell>
          <cell r="E7">
            <v>6.2962962962962964E-3</v>
          </cell>
          <cell r="F7"/>
          <cell r="G7"/>
          <cell r="H7"/>
          <cell r="I7"/>
          <cell r="J7"/>
          <cell r="K7"/>
          <cell r="L7"/>
          <cell r="M7"/>
          <cell r="N7"/>
          <cell r="O7"/>
          <cell r="P7"/>
        </row>
        <row r="8">
          <cell r="D8">
            <v>2.4409722222222222E-2</v>
          </cell>
          <cell r="E8">
            <v>2.0601851851851854E-2</v>
          </cell>
          <cell r="F8"/>
          <cell r="G8"/>
          <cell r="H8"/>
          <cell r="I8"/>
          <cell r="J8"/>
          <cell r="K8"/>
          <cell r="L8"/>
          <cell r="M8"/>
          <cell r="N8"/>
          <cell r="O8"/>
          <cell r="P8"/>
        </row>
        <row r="9">
          <cell r="D9">
            <v>1.275462962962963E-2</v>
          </cell>
          <cell r="E9">
            <v>1.4710648148148148E-2</v>
          </cell>
          <cell r="F9"/>
          <cell r="G9"/>
          <cell r="H9"/>
          <cell r="I9"/>
          <cell r="J9"/>
          <cell r="K9"/>
          <cell r="L9"/>
          <cell r="M9"/>
          <cell r="N9"/>
          <cell r="O9"/>
          <cell r="P9"/>
        </row>
        <row r="10">
          <cell r="D10">
            <v>2.2222222222222223E-2</v>
          </cell>
          <cell r="E10">
            <v>1.9918981481481482E-2</v>
          </cell>
          <cell r="F10"/>
          <cell r="G10"/>
          <cell r="H10"/>
          <cell r="I10"/>
          <cell r="J10"/>
          <cell r="K10"/>
          <cell r="L10"/>
          <cell r="M10"/>
          <cell r="N10"/>
          <cell r="O10"/>
          <cell r="P10"/>
        </row>
        <row r="11">
          <cell r="D11"/>
          <cell r="E11"/>
          <cell r="F11"/>
          <cell r="G11"/>
          <cell r="H11"/>
          <cell r="I11"/>
          <cell r="J11"/>
          <cell r="K11"/>
          <cell r="L11"/>
          <cell r="M11"/>
          <cell r="N11"/>
          <cell r="O11"/>
          <cell r="P11"/>
        </row>
        <row r="12">
          <cell r="D12">
            <v>7.3842592592592597E-3</v>
          </cell>
          <cell r="E12">
            <v>6.9791666666666674E-3</v>
          </cell>
          <cell r="F12"/>
          <cell r="G12"/>
          <cell r="H12"/>
          <cell r="I12"/>
          <cell r="J12"/>
          <cell r="K12"/>
          <cell r="L12"/>
          <cell r="M12"/>
          <cell r="N12"/>
          <cell r="O12"/>
          <cell r="P12"/>
        </row>
        <row r="13">
          <cell r="D13">
            <v>6.828703703703704E-3</v>
          </cell>
          <cell r="E13">
            <v>6.7245370370370367E-3</v>
          </cell>
          <cell r="F13"/>
          <cell r="G13"/>
          <cell r="H13"/>
          <cell r="I13"/>
          <cell r="J13"/>
          <cell r="K13"/>
          <cell r="L13"/>
          <cell r="M13"/>
          <cell r="N13"/>
          <cell r="O13"/>
          <cell r="P13"/>
        </row>
        <row r="14">
          <cell r="D14">
            <v>1.0798611111111111E-2</v>
          </cell>
          <cell r="E14">
            <v>1.0266203703703703E-2</v>
          </cell>
          <cell r="F14"/>
          <cell r="G14"/>
          <cell r="H14"/>
          <cell r="I14"/>
          <cell r="J14"/>
          <cell r="K14"/>
          <cell r="L14"/>
          <cell r="M14"/>
          <cell r="N14"/>
          <cell r="O14"/>
          <cell r="P14"/>
        </row>
        <row r="15">
          <cell r="D15">
            <v>8.7615740740740744E-3</v>
          </cell>
          <cell r="E15">
            <v>8.518518518518519E-3</v>
          </cell>
          <cell r="F15"/>
          <cell r="G15"/>
          <cell r="H15"/>
          <cell r="I15"/>
          <cell r="J15"/>
          <cell r="K15"/>
          <cell r="L15"/>
          <cell r="M15"/>
          <cell r="N15"/>
          <cell r="O15"/>
          <cell r="P15"/>
        </row>
        <row r="16">
          <cell r="D16">
            <v>8.113425925925925E-3</v>
          </cell>
          <cell r="E16">
            <v>7.8125E-3</v>
          </cell>
          <cell r="F16"/>
          <cell r="G16"/>
          <cell r="H16"/>
          <cell r="I16"/>
          <cell r="J16"/>
          <cell r="K16"/>
          <cell r="L16"/>
          <cell r="M16"/>
          <cell r="N16"/>
          <cell r="O16"/>
          <cell r="P16"/>
        </row>
        <row r="17">
          <cell r="D17">
            <v>2.5578703703703705E-3</v>
          </cell>
          <cell r="E17">
            <v>1.7476851851851852E-3</v>
          </cell>
          <cell r="F17"/>
          <cell r="G17"/>
          <cell r="H17"/>
          <cell r="I17"/>
          <cell r="J17"/>
          <cell r="K17"/>
          <cell r="L17"/>
          <cell r="M17"/>
          <cell r="N17"/>
          <cell r="O17"/>
          <cell r="P17"/>
        </row>
        <row r="18">
          <cell r="D18">
            <v>4.2824074074074075E-3</v>
          </cell>
          <cell r="E18">
            <v>3.530092592592592E-3</v>
          </cell>
          <cell r="F18"/>
          <cell r="G18"/>
          <cell r="H18"/>
          <cell r="I18"/>
          <cell r="J18"/>
          <cell r="K18"/>
          <cell r="L18"/>
          <cell r="M18"/>
          <cell r="N18"/>
          <cell r="O18"/>
          <cell r="P18"/>
        </row>
        <row r="19">
          <cell r="D19">
            <v>3.1435185185185184E-2</v>
          </cell>
          <cell r="E19">
            <v>3.4444444444444444E-2</v>
          </cell>
          <cell r="F19"/>
          <cell r="G19"/>
          <cell r="H19"/>
          <cell r="I19"/>
          <cell r="J19"/>
          <cell r="K19"/>
          <cell r="L19"/>
          <cell r="M19"/>
          <cell r="N19"/>
          <cell r="O19"/>
          <cell r="P19"/>
        </row>
        <row r="20">
          <cell r="D20">
            <v>4.5138888888888893E-3</v>
          </cell>
          <cell r="E20">
            <v>3.7962962962962963E-3</v>
          </cell>
          <cell r="F20"/>
          <cell r="G20"/>
          <cell r="H20"/>
          <cell r="I20"/>
          <cell r="J20"/>
          <cell r="K20"/>
          <cell r="L20"/>
          <cell r="M20"/>
          <cell r="N20"/>
          <cell r="O20"/>
          <cell r="P20"/>
        </row>
        <row r="21">
          <cell r="D21">
            <v>7.8356481481481489E-3</v>
          </cell>
          <cell r="E21">
            <v>7.5115740740740742E-3</v>
          </cell>
          <cell r="F21"/>
          <cell r="G21"/>
          <cell r="H21"/>
          <cell r="I21"/>
          <cell r="J21"/>
          <cell r="K21"/>
          <cell r="L21"/>
          <cell r="M21"/>
          <cell r="N21"/>
          <cell r="O21"/>
          <cell r="P21"/>
        </row>
        <row r="22">
          <cell r="D22">
            <v>9.4444444444444445E-3</v>
          </cell>
          <cell r="E22">
            <v>5.37037037037037E-3</v>
          </cell>
          <cell r="F22"/>
          <cell r="G22"/>
          <cell r="H22"/>
          <cell r="I22"/>
          <cell r="J22"/>
          <cell r="K22"/>
          <cell r="L22"/>
          <cell r="M22"/>
          <cell r="N22"/>
          <cell r="O22"/>
          <cell r="P22"/>
        </row>
        <row r="23">
          <cell r="D23">
            <v>1.5011574074074075E-2</v>
          </cell>
          <cell r="E23">
            <v>1.3402777777777777E-2</v>
          </cell>
          <cell r="F23"/>
          <cell r="G23"/>
          <cell r="H23"/>
          <cell r="I23"/>
          <cell r="J23"/>
          <cell r="K23"/>
          <cell r="L23"/>
          <cell r="M23"/>
          <cell r="N23"/>
          <cell r="O23"/>
          <cell r="P23"/>
        </row>
        <row r="24">
          <cell r="D24">
            <v>6.3020833333333331E-2</v>
          </cell>
          <cell r="E24">
            <v>6.3969907407407406E-2</v>
          </cell>
          <cell r="F24"/>
          <cell r="G24"/>
          <cell r="H24"/>
          <cell r="I24"/>
          <cell r="J24"/>
          <cell r="K24"/>
          <cell r="L24"/>
          <cell r="M24"/>
          <cell r="N24"/>
          <cell r="O24"/>
          <cell r="P24"/>
        </row>
        <row r="25">
          <cell r="D25">
            <v>1.4965277777777779E-2</v>
          </cell>
          <cell r="E25">
            <v>1.3842592592592594E-2</v>
          </cell>
          <cell r="F25"/>
          <cell r="G25"/>
          <cell r="H25"/>
          <cell r="I25"/>
          <cell r="J25"/>
          <cell r="K25"/>
          <cell r="L25"/>
          <cell r="M25"/>
          <cell r="N25"/>
          <cell r="O25"/>
          <cell r="P25"/>
        </row>
        <row r="26">
          <cell r="D26"/>
          <cell r="E26"/>
          <cell r="F26"/>
          <cell r="G26"/>
          <cell r="H26"/>
          <cell r="I26"/>
          <cell r="J26"/>
          <cell r="K26"/>
          <cell r="L26"/>
          <cell r="M26"/>
          <cell r="N26"/>
          <cell r="O26"/>
          <cell r="P26"/>
        </row>
        <row r="27">
          <cell r="D27">
            <v>7.4652777777777781E-3</v>
          </cell>
          <cell r="E27">
            <v>6.2500000000000003E-3</v>
          </cell>
          <cell r="F27"/>
          <cell r="G27"/>
          <cell r="H27"/>
          <cell r="I27"/>
          <cell r="J27"/>
          <cell r="K27"/>
          <cell r="L27"/>
          <cell r="M27"/>
          <cell r="N27"/>
          <cell r="O27"/>
          <cell r="P27"/>
        </row>
        <row r="28">
          <cell r="D28">
            <v>7.8125E-3</v>
          </cell>
          <cell r="E28">
            <v>6.2268518518518515E-3</v>
          </cell>
          <cell r="F28"/>
          <cell r="G28"/>
          <cell r="H28"/>
          <cell r="I28"/>
          <cell r="J28"/>
          <cell r="K28"/>
          <cell r="L28"/>
          <cell r="M28"/>
          <cell r="N28"/>
          <cell r="O28"/>
          <cell r="P28"/>
        </row>
        <row r="29">
          <cell r="D29">
            <v>1.5416666666666667E-2</v>
          </cell>
          <cell r="E29">
            <v>1.3923611111111111E-2</v>
          </cell>
          <cell r="F29"/>
          <cell r="G29"/>
          <cell r="H29"/>
          <cell r="I29"/>
          <cell r="J29"/>
          <cell r="K29"/>
          <cell r="L29"/>
          <cell r="M29"/>
          <cell r="N29"/>
          <cell r="O29"/>
          <cell r="P29"/>
        </row>
        <row r="30">
          <cell r="D30">
            <v>8.5300925925925926E-3</v>
          </cell>
          <cell r="E30">
            <v>7.2685185185185188E-3</v>
          </cell>
          <cell r="F30"/>
          <cell r="G30"/>
          <cell r="H30"/>
          <cell r="I30"/>
          <cell r="J30"/>
          <cell r="K30"/>
          <cell r="L30"/>
          <cell r="M30"/>
          <cell r="N30"/>
          <cell r="O30"/>
          <cell r="P30"/>
        </row>
        <row r="31">
          <cell r="D31">
            <v>9.0046296296296298E-3</v>
          </cell>
          <cell r="E31">
            <v>7.6273148148148151E-3</v>
          </cell>
          <cell r="F31"/>
          <cell r="G31"/>
          <cell r="H31"/>
          <cell r="I31"/>
          <cell r="J31"/>
          <cell r="K31"/>
          <cell r="L31"/>
          <cell r="M31"/>
          <cell r="N31"/>
          <cell r="O31"/>
          <cell r="P31"/>
        </row>
        <row r="32">
          <cell r="D32">
            <v>1.8634259259259261E-3</v>
          </cell>
          <cell r="E32">
            <v>1.8402777777777777E-3</v>
          </cell>
          <cell r="F32"/>
          <cell r="G32"/>
          <cell r="H32"/>
          <cell r="I32"/>
          <cell r="J32"/>
          <cell r="K32"/>
          <cell r="L32"/>
          <cell r="M32"/>
          <cell r="N32"/>
          <cell r="O32"/>
          <cell r="P32"/>
        </row>
        <row r="33">
          <cell r="D33">
            <v>3.0439814814814821E-3</v>
          </cell>
          <cell r="E33">
            <v>3.0439814814814821E-3</v>
          </cell>
          <cell r="F33"/>
          <cell r="G33"/>
          <cell r="H33"/>
          <cell r="I33"/>
          <cell r="J33"/>
          <cell r="K33"/>
          <cell r="L33"/>
          <cell r="M33"/>
          <cell r="N33"/>
          <cell r="O33"/>
          <cell r="P33"/>
        </row>
        <row r="34">
          <cell r="D34">
            <v>4.0162037037037033E-3</v>
          </cell>
          <cell r="E34">
            <v>6.1921296296296299E-3</v>
          </cell>
          <cell r="F34"/>
          <cell r="G34"/>
          <cell r="H34"/>
          <cell r="I34"/>
          <cell r="J34"/>
          <cell r="K34"/>
          <cell r="L34"/>
          <cell r="M34"/>
          <cell r="N34"/>
          <cell r="O34"/>
          <cell r="P34"/>
        </row>
        <row r="35">
          <cell r="D35">
            <v>3.9351851851851857E-3</v>
          </cell>
          <cell r="E35">
            <v>4.108796296296297E-3</v>
          </cell>
          <cell r="F35"/>
          <cell r="G35"/>
          <cell r="H35"/>
          <cell r="I35"/>
          <cell r="J35"/>
          <cell r="K35"/>
          <cell r="L35"/>
          <cell r="M35"/>
          <cell r="N35"/>
          <cell r="O35"/>
          <cell r="P35"/>
        </row>
        <row r="36">
          <cell r="D36">
            <v>3.1018518518518522E-3</v>
          </cell>
          <cell r="E36">
            <v>3.6342592592592594E-3</v>
          </cell>
          <cell r="F36"/>
          <cell r="G36"/>
          <cell r="H36"/>
          <cell r="I36"/>
          <cell r="J36"/>
          <cell r="K36"/>
          <cell r="L36"/>
          <cell r="M36"/>
          <cell r="N36"/>
          <cell r="O36"/>
          <cell r="P36"/>
        </row>
        <row r="37">
          <cell r="D37">
            <v>5.2546296296296299E-3</v>
          </cell>
          <cell r="E37">
            <v>5.5324074074074069E-3</v>
          </cell>
          <cell r="F37"/>
          <cell r="G37"/>
          <cell r="H37"/>
          <cell r="I37"/>
          <cell r="J37"/>
          <cell r="K37"/>
          <cell r="L37"/>
          <cell r="M37"/>
          <cell r="N37"/>
          <cell r="O37"/>
          <cell r="P37"/>
        </row>
        <row r="38">
          <cell r="D38">
            <v>9.7337962962962977E-3</v>
          </cell>
          <cell r="E38">
            <v>1.0150462962962964E-2</v>
          </cell>
          <cell r="F38"/>
          <cell r="G38"/>
          <cell r="H38"/>
          <cell r="I38"/>
          <cell r="J38"/>
          <cell r="K38"/>
          <cell r="L38"/>
          <cell r="M38"/>
          <cell r="N38"/>
          <cell r="O38"/>
          <cell r="P38"/>
        </row>
        <row r="39">
          <cell r="D39">
            <v>1.03125E-2</v>
          </cell>
          <cell r="E39">
            <v>1.8587962962962962E-2</v>
          </cell>
          <cell r="F39"/>
          <cell r="G39"/>
          <cell r="H39"/>
          <cell r="I39"/>
          <cell r="J39"/>
          <cell r="K39"/>
          <cell r="L39"/>
          <cell r="M39"/>
          <cell r="N39"/>
          <cell r="O39"/>
          <cell r="P39"/>
        </row>
        <row r="40">
          <cell r="D40">
            <v>1.2175925925925929E-2</v>
          </cell>
          <cell r="E40">
            <v>1.1550925925925925E-2</v>
          </cell>
          <cell r="F40"/>
          <cell r="G40"/>
          <cell r="H40"/>
          <cell r="I40"/>
          <cell r="J40"/>
          <cell r="K40"/>
          <cell r="L40"/>
          <cell r="M40"/>
          <cell r="N40"/>
          <cell r="O40"/>
          <cell r="P40"/>
        </row>
        <row r="41">
          <cell r="D41"/>
          <cell r="E41"/>
          <cell r="F41"/>
          <cell r="G41"/>
          <cell r="H41"/>
          <cell r="I41"/>
          <cell r="J41"/>
          <cell r="K41"/>
          <cell r="L41"/>
          <cell r="M41"/>
          <cell r="N41"/>
          <cell r="O41"/>
          <cell r="P41"/>
        </row>
        <row r="42">
          <cell r="D42">
            <v>7.2800925925925915E-3</v>
          </cell>
          <cell r="E42">
            <v>7.6736111111111111E-3</v>
          </cell>
          <cell r="F42"/>
          <cell r="G42"/>
          <cell r="H42"/>
          <cell r="I42"/>
          <cell r="J42"/>
          <cell r="K42"/>
          <cell r="L42"/>
          <cell r="M42"/>
          <cell r="N42"/>
          <cell r="O42"/>
          <cell r="P42"/>
        </row>
        <row r="43">
          <cell r="D43">
            <v>6.6898148148148142E-3</v>
          </cell>
          <cell r="E43">
            <v>7.3726851851851861E-3</v>
          </cell>
          <cell r="F43"/>
          <cell r="G43"/>
          <cell r="H43"/>
          <cell r="I43"/>
          <cell r="J43"/>
          <cell r="K43"/>
          <cell r="L43"/>
          <cell r="M43"/>
          <cell r="N43"/>
          <cell r="O43"/>
          <cell r="P43"/>
        </row>
        <row r="44">
          <cell r="D44">
            <v>1.1643518518518518E-2</v>
          </cell>
          <cell r="E44">
            <v>1.3692129629629629E-2</v>
          </cell>
          <cell r="F44"/>
          <cell r="G44"/>
          <cell r="H44"/>
          <cell r="I44"/>
          <cell r="J44"/>
          <cell r="K44"/>
          <cell r="L44"/>
          <cell r="M44"/>
          <cell r="N44"/>
          <cell r="O44"/>
          <cell r="P44"/>
        </row>
        <row r="45">
          <cell r="D45">
            <v>6.5972222222222222E-3</v>
          </cell>
          <cell r="E45">
            <v>9.5370370370370366E-3</v>
          </cell>
          <cell r="F45"/>
          <cell r="G45"/>
          <cell r="H45"/>
          <cell r="I45"/>
          <cell r="J45"/>
          <cell r="K45"/>
          <cell r="L45"/>
          <cell r="M45"/>
          <cell r="N45"/>
          <cell r="O45"/>
          <cell r="P45"/>
        </row>
        <row r="46">
          <cell r="D46">
            <v>7.5462962962962966E-3</v>
          </cell>
          <cell r="E46">
            <v>9.2939814814814812E-3</v>
          </cell>
          <cell r="F46"/>
          <cell r="G46"/>
          <cell r="H46"/>
          <cell r="I46"/>
          <cell r="J46"/>
          <cell r="K46"/>
          <cell r="L46"/>
          <cell r="M46"/>
          <cell r="N46"/>
          <cell r="O46"/>
          <cell r="P46"/>
        </row>
        <row r="47">
          <cell r="D47">
            <v>1.5625000000000001E-3</v>
          </cell>
          <cell r="E47">
            <v>1.5277777777777779E-3</v>
          </cell>
          <cell r="F47"/>
          <cell r="G47"/>
          <cell r="H47"/>
          <cell r="I47"/>
          <cell r="J47"/>
          <cell r="K47"/>
          <cell r="L47"/>
          <cell r="M47"/>
          <cell r="N47"/>
          <cell r="O47"/>
          <cell r="P47"/>
        </row>
        <row r="48">
          <cell r="D48">
            <v>2.1875000000000002E-3</v>
          </cell>
          <cell r="E48">
            <v>2.0833333333333333E-3</v>
          </cell>
          <cell r="F48"/>
          <cell r="G48"/>
          <cell r="H48"/>
          <cell r="I48"/>
          <cell r="J48"/>
          <cell r="K48"/>
          <cell r="L48"/>
          <cell r="M48"/>
          <cell r="N48"/>
          <cell r="O48"/>
          <cell r="P48"/>
        </row>
        <row r="49">
          <cell r="D49">
            <v>2.7314814814814819E-3</v>
          </cell>
          <cell r="E49">
            <v>2.9050925925925928E-3</v>
          </cell>
          <cell r="F49"/>
          <cell r="G49"/>
          <cell r="H49"/>
          <cell r="I49"/>
          <cell r="J49"/>
          <cell r="K49"/>
          <cell r="L49"/>
          <cell r="M49"/>
          <cell r="N49"/>
          <cell r="O49"/>
          <cell r="P49"/>
        </row>
        <row r="50">
          <cell r="D50">
            <v>2.2106481481481478E-3</v>
          </cell>
          <cell r="E50">
            <v>2.3842592592592591E-3</v>
          </cell>
          <cell r="F50"/>
          <cell r="G50"/>
          <cell r="H50"/>
          <cell r="I50"/>
          <cell r="J50"/>
          <cell r="K50"/>
          <cell r="L50"/>
          <cell r="M50"/>
          <cell r="N50"/>
          <cell r="O50"/>
          <cell r="P50"/>
        </row>
        <row r="51">
          <cell r="D51">
            <v>2.1180555555555553E-3</v>
          </cell>
          <cell r="E51">
            <v>2.1643518518518518E-3</v>
          </cell>
          <cell r="F51"/>
          <cell r="G51"/>
          <cell r="H51"/>
          <cell r="I51"/>
          <cell r="J51"/>
          <cell r="K51"/>
          <cell r="L51"/>
          <cell r="M51"/>
          <cell r="N51"/>
          <cell r="O51"/>
          <cell r="P51"/>
        </row>
        <row r="52">
          <cell r="D52">
            <v>3.2291666666666666E-3</v>
          </cell>
          <cell r="E52">
            <v>3.1481481481481482E-3</v>
          </cell>
          <cell r="F52"/>
          <cell r="G52"/>
          <cell r="H52"/>
          <cell r="I52"/>
          <cell r="J52"/>
          <cell r="K52"/>
          <cell r="L52"/>
          <cell r="M52"/>
          <cell r="N52"/>
          <cell r="O52"/>
          <cell r="P52"/>
        </row>
        <row r="53">
          <cell r="D53">
            <v>6.9444444444444441E-3</v>
          </cell>
          <cell r="E53">
            <v>6.2037037037037043E-3</v>
          </cell>
          <cell r="F53"/>
          <cell r="G53"/>
          <cell r="H53"/>
          <cell r="I53"/>
          <cell r="J53"/>
          <cell r="K53"/>
          <cell r="L53"/>
          <cell r="M53"/>
          <cell r="N53"/>
          <cell r="O53"/>
          <cell r="P53"/>
        </row>
        <row r="54">
          <cell r="D54">
            <v>7.5115740740740742E-3</v>
          </cell>
          <cell r="E54">
            <v>8.611111111111111E-3</v>
          </cell>
          <cell r="F54"/>
          <cell r="G54"/>
          <cell r="H54"/>
          <cell r="I54"/>
          <cell r="J54"/>
          <cell r="K54"/>
          <cell r="L54"/>
          <cell r="M54"/>
          <cell r="N54"/>
          <cell r="O54"/>
          <cell r="P54"/>
        </row>
        <row r="55">
          <cell r="D55">
            <v>8.8657407407407417E-3</v>
          </cell>
          <cell r="E55">
            <v>8.3449074074074085E-3</v>
          </cell>
          <cell r="F55"/>
          <cell r="G55"/>
          <cell r="H55"/>
          <cell r="I55"/>
          <cell r="J55"/>
          <cell r="K55"/>
          <cell r="L55"/>
          <cell r="M55"/>
          <cell r="N55"/>
          <cell r="O55"/>
          <cell r="P55"/>
        </row>
        <row r="56">
          <cell r="D56"/>
          <cell r="E56"/>
          <cell r="F56"/>
          <cell r="G56"/>
          <cell r="H56"/>
          <cell r="I56"/>
          <cell r="J56"/>
          <cell r="K56"/>
          <cell r="L56"/>
          <cell r="M56"/>
          <cell r="N56"/>
          <cell r="O56"/>
          <cell r="P56"/>
        </row>
        <row r="57">
          <cell r="D57">
            <v>6.9444444444444441E-3</v>
          </cell>
          <cell r="E57">
            <v>6.9328703703703696E-3</v>
          </cell>
          <cell r="F57"/>
          <cell r="G57"/>
          <cell r="H57"/>
          <cell r="I57"/>
          <cell r="J57"/>
          <cell r="K57"/>
          <cell r="L57"/>
          <cell r="M57"/>
          <cell r="N57"/>
          <cell r="O57"/>
          <cell r="P57"/>
        </row>
        <row r="58">
          <cell r="D58">
            <v>6.0069444444444441E-3</v>
          </cell>
          <cell r="E58">
            <v>6.2037037037037043E-3</v>
          </cell>
          <cell r="F58"/>
          <cell r="G58"/>
          <cell r="H58"/>
          <cell r="I58"/>
          <cell r="J58"/>
          <cell r="K58"/>
          <cell r="L58"/>
          <cell r="M58"/>
          <cell r="N58"/>
          <cell r="O58"/>
          <cell r="P58"/>
        </row>
        <row r="59">
          <cell r="D59">
            <v>1.0405092592592593E-2</v>
          </cell>
          <cell r="E59">
            <v>1.0671296296296297E-2</v>
          </cell>
          <cell r="F59"/>
          <cell r="G59"/>
          <cell r="H59"/>
          <cell r="I59"/>
          <cell r="J59"/>
          <cell r="K59"/>
          <cell r="L59"/>
          <cell r="M59"/>
          <cell r="N59"/>
          <cell r="O59"/>
          <cell r="P59"/>
        </row>
        <row r="60">
          <cell r="D60">
            <v>7.7314814814814815E-3</v>
          </cell>
          <cell r="E60">
            <v>7.4305555555555548E-3</v>
          </cell>
          <cell r="F60"/>
          <cell r="G60"/>
          <cell r="H60"/>
          <cell r="I60"/>
          <cell r="J60"/>
          <cell r="K60"/>
          <cell r="L60"/>
          <cell r="M60"/>
          <cell r="N60"/>
          <cell r="O60"/>
          <cell r="P60"/>
        </row>
        <row r="61">
          <cell r="D61">
            <v>7.5347222222222213E-3</v>
          </cell>
          <cell r="E61">
            <v>7.5462962962962966E-3</v>
          </cell>
          <cell r="F61"/>
          <cell r="G61"/>
          <cell r="H61"/>
          <cell r="I61"/>
          <cell r="J61"/>
          <cell r="K61"/>
          <cell r="L61"/>
          <cell r="M61"/>
          <cell r="N61"/>
          <cell r="O61"/>
          <cell r="P61"/>
        </row>
        <row r="62">
          <cell r="D62">
            <v>2.5115740740740741E-3</v>
          </cell>
          <cell r="E62">
            <v>2.7430555555555559E-3</v>
          </cell>
          <cell r="F62"/>
          <cell r="G62"/>
          <cell r="H62"/>
          <cell r="I62"/>
          <cell r="J62"/>
          <cell r="K62"/>
          <cell r="L62"/>
          <cell r="M62"/>
          <cell r="N62"/>
          <cell r="O62"/>
          <cell r="P62"/>
        </row>
        <row r="63">
          <cell r="D63">
            <v>4.5833333333333334E-3</v>
          </cell>
          <cell r="E63">
            <v>6.053240740740741E-3</v>
          </cell>
          <cell r="F63"/>
          <cell r="G63"/>
          <cell r="H63"/>
          <cell r="I63"/>
          <cell r="J63"/>
          <cell r="K63"/>
          <cell r="L63"/>
          <cell r="M63"/>
          <cell r="N63"/>
          <cell r="O63"/>
          <cell r="P63"/>
        </row>
        <row r="64">
          <cell r="D64">
            <v>9.3171296296296283E-3</v>
          </cell>
          <cell r="E64">
            <v>8.2986111111111108E-3</v>
          </cell>
          <cell r="F64"/>
          <cell r="G64"/>
          <cell r="H64"/>
          <cell r="I64"/>
          <cell r="J64"/>
          <cell r="K64"/>
          <cell r="L64"/>
          <cell r="M64"/>
          <cell r="N64"/>
          <cell r="O64"/>
          <cell r="P64"/>
        </row>
        <row r="65">
          <cell r="D65">
            <v>6.2268518518518515E-3</v>
          </cell>
          <cell r="E65">
            <v>7.8819444444444432E-3</v>
          </cell>
          <cell r="F65"/>
          <cell r="G65"/>
          <cell r="H65"/>
          <cell r="I65"/>
          <cell r="J65"/>
          <cell r="K65"/>
          <cell r="L65"/>
          <cell r="M65"/>
          <cell r="N65"/>
          <cell r="O65"/>
          <cell r="P65"/>
        </row>
        <row r="66">
          <cell r="D66">
            <v>5.138888888888889E-3</v>
          </cell>
          <cell r="E66">
            <v>5.9490740740740745E-3</v>
          </cell>
          <cell r="F66"/>
          <cell r="G66"/>
          <cell r="H66"/>
          <cell r="I66"/>
          <cell r="J66"/>
          <cell r="K66"/>
          <cell r="L66"/>
          <cell r="M66"/>
          <cell r="N66"/>
          <cell r="O66"/>
          <cell r="P66"/>
        </row>
        <row r="67">
          <cell r="D67">
            <v>7.0254629629629634E-3</v>
          </cell>
          <cell r="E67">
            <v>6.7245370370370367E-3</v>
          </cell>
          <cell r="F67"/>
          <cell r="G67"/>
          <cell r="H67"/>
          <cell r="I67"/>
          <cell r="J67"/>
          <cell r="K67"/>
          <cell r="L67"/>
          <cell r="M67"/>
          <cell r="N67"/>
          <cell r="O67"/>
          <cell r="P67"/>
        </row>
        <row r="68">
          <cell r="D68">
            <v>1.5821759259259261E-2</v>
          </cell>
          <cell r="E68">
            <v>1.7511574074074072E-2</v>
          </cell>
          <cell r="F68"/>
          <cell r="G68"/>
          <cell r="H68"/>
          <cell r="I68"/>
          <cell r="J68"/>
          <cell r="K68"/>
          <cell r="L68"/>
          <cell r="M68"/>
          <cell r="N68"/>
          <cell r="O68"/>
          <cell r="P68"/>
        </row>
        <row r="69">
          <cell r="D69">
            <v>1.0081018518518519E-2</v>
          </cell>
          <cell r="E69">
            <v>2.1273148148148149E-2</v>
          </cell>
          <cell r="F69"/>
          <cell r="G69"/>
          <cell r="H69"/>
          <cell r="I69"/>
          <cell r="J69"/>
          <cell r="K69"/>
          <cell r="L69"/>
          <cell r="M69"/>
          <cell r="N69"/>
          <cell r="O69"/>
          <cell r="P69"/>
        </row>
        <row r="70">
          <cell r="D70">
            <v>1.6689814814814817E-2</v>
          </cell>
          <cell r="E70">
            <v>1.954861111111111E-2</v>
          </cell>
          <cell r="F70"/>
          <cell r="G70"/>
          <cell r="H70"/>
          <cell r="I70"/>
          <cell r="J70"/>
          <cell r="K70"/>
          <cell r="L70"/>
          <cell r="M70"/>
          <cell r="N70"/>
          <cell r="O70"/>
          <cell r="P70"/>
        </row>
        <row r="71">
          <cell r="D71"/>
          <cell r="E71"/>
          <cell r="F71"/>
          <cell r="G71"/>
          <cell r="H71"/>
          <cell r="I71"/>
          <cell r="J71"/>
          <cell r="K71"/>
          <cell r="L71"/>
          <cell r="M71"/>
          <cell r="N71"/>
          <cell r="O71"/>
          <cell r="P71"/>
        </row>
        <row r="72">
          <cell r="D72">
            <v>6.8171296296296287E-3</v>
          </cell>
          <cell r="E72">
            <v>6.4699074074074069E-3</v>
          </cell>
          <cell r="F72"/>
          <cell r="G72"/>
          <cell r="H72"/>
          <cell r="I72"/>
          <cell r="J72"/>
          <cell r="K72"/>
          <cell r="L72"/>
          <cell r="M72"/>
          <cell r="N72"/>
          <cell r="O72"/>
          <cell r="P72"/>
        </row>
        <row r="73">
          <cell r="D73">
            <v>6.828703703703704E-3</v>
          </cell>
          <cell r="E73">
            <v>6.8865740740740736E-3</v>
          </cell>
          <cell r="F73"/>
          <cell r="G73"/>
          <cell r="H73"/>
          <cell r="I73"/>
          <cell r="J73"/>
          <cell r="K73"/>
          <cell r="L73"/>
          <cell r="M73"/>
          <cell r="N73"/>
          <cell r="O73"/>
          <cell r="P73"/>
        </row>
        <row r="74">
          <cell r="D74">
            <v>9.0972222222222218E-3</v>
          </cell>
          <cell r="E74">
            <v>1.2083333333333333E-2</v>
          </cell>
          <cell r="F74"/>
          <cell r="G74"/>
          <cell r="H74"/>
          <cell r="I74"/>
          <cell r="J74"/>
          <cell r="K74"/>
          <cell r="L74"/>
          <cell r="M74"/>
          <cell r="N74"/>
          <cell r="O74"/>
          <cell r="P74"/>
        </row>
        <row r="75">
          <cell r="D75">
            <v>8.611111111111111E-3</v>
          </cell>
          <cell r="E75">
            <v>8.6226851851851846E-3</v>
          </cell>
          <cell r="F75"/>
          <cell r="G75"/>
          <cell r="H75"/>
          <cell r="I75"/>
          <cell r="J75"/>
          <cell r="K75"/>
          <cell r="L75"/>
          <cell r="M75"/>
          <cell r="N75"/>
          <cell r="O75"/>
          <cell r="P75"/>
        </row>
        <row r="76">
          <cell r="D76">
            <v>7.6620370370370366E-3</v>
          </cell>
          <cell r="E76">
            <v>8.0092592592592594E-3</v>
          </cell>
          <cell r="F76"/>
          <cell r="G76"/>
          <cell r="H76"/>
          <cell r="I76"/>
          <cell r="J76"/>
          <cell r="K76"/>
          <cell r="L76"/>
          <cell r="M76"/>
          <cell r="N76"/>
          <cell r="O76"/>
          <cell r="P76"/>
        </row>
        <row r="77">
          <cell r="D77">
            <v>1.9791666666666668E-3</v>
          </cell>
          <cell r="E77">
            <v>1.9328703703703704E-3</v>
          </cell>
          <cell r="F77"/>
          <cell r="G77"/>
          <cell r="H77"/>
          <cell r="I77"/>
          <cell r="J77"/>
          <cell r="K77"/>
          <cell r="L77"/>
          <cell r="M77"/>
          <cell r="N77"/>
          <cell r="O77"/>
          <cell r="P77"/>
        </row>
        <row r="78">
          <cell r="D78">
            <v>4.4328703703703709E-3</v>
          </cell>
          <cell r="E78">
            <v>4.155092592592593E-3</v>
          </cell>
          <cell r="F78"/>
          <cell r="G78"/>
          <cell r="H78"/>
          <cell r="I78"/>
          <cell r="J78"/>
          <cell r="K78"/>
          <cell r="L78"/>
          <cell r="M78"/>
          <cell r="N78"/>
          <cell r="O78"/>
          <cell r="P78"/>
        </row>
        <row r="79">
          <cell r="D79">
            <v>8.0324074074074065E-3</v>
          </cell>
          <cell r="E79">
            <v>8.5879629629629622E-3</v>
          </cell>
          <cell r="F79"/>
          <cell r="G79"/>
          <cell r="H79"/>
          <cell r="I79"/>
          <cell r="J79"/>
          <cell r="K79"/>
          <cell r="L79"/>
          <cell r="M79"/>
          <cell r="N79"/>
          <cell r="O79"/>
          <cell r="P79"/>
        </row>
        <row r="80">
          <cell r="D80">
            <v>4.9421296296296288E-3</v>
          </cell>
          <cell r="E80">
            <v>4.9189814814814816E-3</v>
          </cell>
          <cell r="F80"/>
          <cell r="G80"/>
          <cell r="H80"/>
          <cell r="I80"/>
          <cell r="J80"/>
          <cell r="K80"/>
          <cell r="L80"/>
          <cell r="M80"/>
          <cell r="N80"/>
          <cell r="O80"/>
          <cell r="P80"/>
        </row>
        <row r="81">
          <cell r="D81">
            <v>4.4212962962962956E-3</v>
          </cell>
          <cell r="E81">
            <v>4.4907407407407405E-3</v>
          </cell>
          <cell r="F81"/>
          <cell r="G81"/>
          <cell r="H81"/>
          <cell r="I81"/>
          <cell r="J81"/>
          <cell r="K81"/>
          <cell r="L81"/>
          <cell r="M81"/>
          <cell r="N81"/>
          <cell r="O81"/>
          <cell r="P81"/>
        </row>
        <row r="82">
          <cell r="D82">
            <v>9.4444444444444445E-3</v>
          </cell>
          <cell r="E82">
            <v>6.7245370370370367E-3</v>
          </cell>
          <cell r="F82"/>
          <cell r="G82"/>
          <cell r="H82"/>
          <cell r="I82"/>
          <cell r="J82"/>
          <cell r="K82"/>
          <cell r="L82"/>
          <cell r="M82"/>
          <cell r="N82"/>
          <cell r="O82"/>
          <cell r="P82"/>
        </row>
        <row r="83">
          <cell r="D83">
            <v>2.4409722222222222E-2</v>
          </cell>
          <cell r="E83">
            <v>2.0601851851851854E-2</v>
          </cell>
          <cell r="F83"/>
          <cell r="G83"/>
          <cell r="H83"/>
          <cell r="I83"/>
          <cell r="J83"/>
          <cell r="K83"/>
          <cell r="L83"/>
          <cell r="M83"/>
          <cell r="N83"/>
          <cell r="O83"/>
          <cell r="P83"/>
        </row>
        <row r="84">
          <cell r="D84">
            <v>6.3020833333333331E-2</v>
          </cell>
          <cell r="E84">
            <v>6.3969907407407406E-2</v>
          </cell>
          <cell r="F84"/>
          <cell r="G84"/>
          <cell r="H84"/>
          <cell r="I84"/>
          <cell r="J84"/>
          <cell r="K84"/>
          <cell r="L84"/>
          <cell r="M84"/>
          <cell r="N84"/>
          <cell r="O84"/>
          <cell r="P84"/>
        </row>
        <row r="85">
          <cell r="D85">
            <v>2.2222222222222223E-2</v>
          </cell>
          <cell r="E85">
            <v>1.9918981481481482E-2</v>
          </cell>
          <cell r="F85"/>
          <cell r="G85"/>
          <cell r="H85"/>
          <cell r="I85"/>
          <cell r="J85"/>
          <cell r="K85"/>
          <cell r="L85"/>
          <cell r="M85"/>
          <cell r="N85"/>
          <cell r="O85"/>
          <cell r="P85"/>
        </row>
        <row r="86">
          <cell r="D86"/>
          <cell r="E86"/>
          <cell r="F86"/>
          <cell r="G86"/>
          <cell r="H86"/>
          <cell r="I86"/>
          <cell r="J86"/>
          <cell r="K86"/>
          <cell r="L86"/>
          <cell r="M86"/>
          <cell r="N86"/>
          <cell r="O86"/>
          <cell r="P86"/>
        </row>
        <row r="87">
          <cell r="D87">
            <v>7.1990740740740739E-3</v>
          </cell>
          <cell r="E87">
            <v>6.9907407407407409E-3</v>
          </cell>
          <cell r="F87"/>
          <cell r="G87"/>
          <cell r="H87"/>
          <cell r="I87"/>
          <cell r="J87"/>
          <cell r="K87"/>
          <cell r="L87"/>
          <cell r="M87"/>
          <cell r="N87"/>
          <cell r="O87"/>
          <cell r="P87"/>
        </row>
        <row r="88">
          <cell r="D88">
            <v>6.7592592592592591E-3</v>
          </cell>
          <cell r="E88">
            <v>6.7476851851851856E-3</v>
          </cell>
          <cell r="F88"/>
          <cell r="G88"/>
          <cell r="H88"/>
          <cell r="I88"/>
          <cell r="J88"/>
          <cell r="K88"/>
          <cell r="L88"/>
          <cell r="M88"/>
          <cell r="N88"/>
          <cell r="O88"/>
          <cell r="P88"/>
        </row>
        <row r="89">
          <cell r="D89">
            <v>1.1273148148148148E-2</v>
          </cell>
          <cell r="E89">
            <v>1.2106481481481482E-2</v>
          </cell>
          <cell r="F89"/>
          <cell r="G89"/>
          <cell r="H89"/>
          <cell r="I89"/>
          <cell r="J89"/>
          <cell r="K89"/>
          <cell r="L89"/>
          <cell r="M89"/>
          <cell r="N89"/>
          <cell r="O89"/>
          <cell r="P89"/>
        </row>
        <row r="90">
          <cell r="D90">
            <v>7.9282407407407409E-3</v>
          </cell>
          <cell r="E90">
            <v>8.4259259259259253E-3</v>
          </cell>
          <cell r="F90"/>
          <cell r="G90"/>
          <cell r="H90"/>
          <cell r="I90"/>
          <cell r="J90"/>
          <cell r="K90"/>
          <cell r="L90"/>
          <cell r="M90"/>
          <cell r="N90"/>
          <cell r="O90"/>
          <cell r="P90"/>
        </row>
        <row r="91">
          <cell r="D91">
            <v>7.8935185185185185E-3</v>
          </cell>
          <cell r="E91">
            <v>8.1712962962962963E-3</v>
          </cell>
          <cell r="F91"/>
          <cell r="G91"/>
          <cell r="H91"/>
          <cell r="I91"/>
          <cell r="J91"/>
          <cell r="K91"/>
          <cell r="L91"/>
          <cell r="M91"/>
          <cell r="N91"/>
          <cell r="O91"/>
          <cell r="P91"/>
        </row>
        <row r="94">
          <cell r="D94"/>
          <cell r="E94"/>
          <cell r="F94"/>
          <cell r="G94"/>
          <cell r="H94"/>
          <cell r="I94"/>
          <cell r="J94"/>
          <cell r="K94"/>
          <cell r="L94"/>
          <cell r="M94"/>
          <cell r="N94"/>
          <cell r="O94"/>
          <cell r="P94"/>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cell r="G3"/>
          <cell r="H3"/>
          <cell r="I3"/>
          <cell r="J3"/>
          <cell r="K3"/>
          <cell r="L3"/>
          <cell r="M3"/>
          <cell r="N3"/>
          <cell r="O3"/>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cell r="G5"/>
          <cell r="H5"/>
          <cell r="I5"/>
          <cell r="J5"/>
          <cell r="K5"/>
          <cell r="L5"/>
          <cell r="M5"/>
          <cell r="N5"/>
          <cell r="O5"/>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cell r="G7"/>
          <cell r="H7"/>
          <cell r="I7"/>
          <cell r="J7"/>
          <cell r="K7"/>
          <cell r="L7"/>
          <cell r="M7"/>
          <cell r="N7"/>
          <cell r="O7"/>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cell r="G9"/>
          <cell r="H9"/>
          <cell r="I9"/>
          <cell r="J9"/>
          <cell r="K9"/>
          <cell r="L9"/>
          <cell r="M9"/>
          <cell r="N9"/>
          <cell r="O9"/>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cell r="G11"/>
          <cell r="H11"/>
          <cell r="I11"/>
          <cell r="J11"/>
          <cell r="K11"/>
          <cell r="L11"/>
          <cell r="M11"/>
          <cell r="N11"/>
          <cell r="O11"/>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cell r="G13"/>
          <cell r="H13"/>
          <cell r="I13"/>
          <cell r="J13"/>
          <cell r="K13"/>
          <cell r="L13"/>
          <cell r="M13"/>
          <cell r="N13"/>
          <cell r="O13"/>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cell r="G15"/>
          <cell r="H15"/>
          <cell r="I15"/>
          <cell r="J15"/>
          <cell r="K15"/>
          <cell r="L15"/>
          <cell r="M15"/>
          <cell r="N15"/>
          <cell r="O15"/>
          <cell r="P15">
            <v>2.4550000000000001</v>
          </cell>
        </row>
        <row r="18">
          <cell r="D18" t="str">
            <v>0</v>
          </cell>
          <cell r="E18" t="str">
            <v>0</v>
          </cell>
          <cell r="F18"/>
          <cell r="G18"/>
          <cell r="H18"/>
          <cell r="I18"/>
          <cell r="J18"/>
          <cell r="K18"/>
          <cell r="L18"/>
          <cell r="M18"/>
          <cell r="N18"/>
          <cell r="O18"/>
          <cell r="P18" t="e">
            <v>#DIV/0!</v>
          </cell>
        </row>
        <row r="19">
          <cell r="D19" t="str">
            <v>0</v>
          </cell>
          <cell r="E19" t="str">
            <v>0</v>
          </cell>
          <cell r="F19"/>
          <cell r="G19"/>
          <cell r="H19"/>
          <cell r="I19"/>
          <cell r="J19"/>
          <cell r="K19"/>
          <cell r="L19"/>
          <cell r="M19"/>
          <cell r="N19"/>
          <cell r="O19"/>
          <cell r="P19" t="e">
            <v>#DIV/0!</v>
          </cell>
        </row>
        <row r="20">
          <cell r="D20" t="str">
            <v>0</v>
          </cell>
          <cell r="E20" t="str">
            <v>0</v>
          </cell>
          <cell r="F20"/>
          <cell r="G20"/>
          <cell r="H20"/>
          <cell r="I20"/>
          <cell r="J20"/>
          <cell r="K20"/>
          <cell r="L20"/>
          <cell r="M20"/>
          <cell r="N20"/>
          <cell r="O20"/>
          <cell r="P20" t="e">
            <v>#DIV/0!</v>
          </cell>
        </row>
        <row r="21">
          <cell r="D21" t="str">
            <v>0</v>
          </cell>
          <cell r="E21" t="str">
            <v>0</v>
          </cell>
          <cell r="F21"/>
          <cell r="G21"/>
          <cell r="H21"/>
          <cell r="I21"/>
          <cell r="J21"/>
          <cell r="K21"/>
          <cell r="L21"/>
          <cell r="M21"/>
          <cell r="N21"/>
          <cell r="O21"/>
          <cell r="P21" t="e">
            <v>#DIV/0!</v>
          </cell>
        </row>
        <row r="22">
          <cell r="D22" t="str">
            <v>0</v>
          </cell>
          <cell r="E22" t="str">
            <v>0</v>
          </cell>
          <cell r="F22"/>
          <cell r="G22"/>
          <cell r="H22"/>
          <cell r="I22"/>
          <cell r="J22"/>
          <cell r="K22"/>
          <cell r="L22"/>
          <cell r="M22"/>
          <cell r="N22"/>
          <cell r="O22"/>
          <cell r="P22" t="e">
            <v>#DIV/0!</v>
          </cell>
        </row>
        <row r="23">
          <cell r="D23" t="str">
            <v>0</v>
          </cell>
          <cell r="E23" t="str">
            <v>0</v>
          </cell>
          <cell r="F23"/>
          <cell r="G23"/>
          <cell r="H23"/>
          <cell r="I23"/>
          <cell r="J23"/>
          <cell r="K23"/>
          <cell r="L23"/>
          <cell r="M23"/>
          <cell r="N23"/>
          <cell r="O23"/>
          <cell r="P23" t="e">
            <v>#DIV/0!</v>
          </cell>
        </row>
        <row r="24">
          <cell r="D24" t="str">
            <v>0</v>
          </cell>
          <cell r="E24" t="str">
            <v>0</v>
          </cell>
          <cell r="F24"/>
          <cell r="G24"/>
          <cell r="H24"/>
          <cell r="I24"/>
          <cell r="J24"/>
          <cell r="K24"/>
          <cell r="L24"/>
          <cell r="M24"/>
          <cell r="N24"/>
          <cell r="O24"/>
          <cell r="P24" t="e">
            <v>#DIV/0!</v>
          </cell>
        </row>
        <row r="25">
          <cell r="D25" t="str">
            <v>0</v>
          </cell>
          <cell r="E25" t="str">
            <v>0</v>
          </cell>
          <cell r="F25"/>
          <cell r="G25"/>
          <cell r="H25"/>
          <cell r="I25"/>
          <cell r="J25"/>
          <cell r="K25"/>
          <cell r="L25"/>
          <cell r="M25"/>
          <cell r="N25"/>
          <cell r="O25"/>
          <cell r="P25" t="e">
            <v>#DIV/0!</v>
          </cell>
        </row>
        <row r="26">
          <cell r="D26" t="str">
            <v>0</v>
          </cell>
          <cell r="E26" t="str">
            <v>0</v>
          </cell>
          <cell r="F26"/>
          <cell r="G26"/>
          <cell r="H26"/>
          <cell r="I26"/>
          <cell r="J26"/>
          <cell r="K26"/>
          <cell r="L26"/>
          <cell r="M26"/>
          <cell r="N26"/>
          <cell r="O26"/>
          <cell r="P26" t="e">
            <v>#DIV/0!</v>
          </cell>
        </row>
        <row r="27">
          <cell r="D27" t="str">
            <v>0</v>
          </cell>
          <cell r="E27" t="str">
            <v>0</v>
          </cell>
          <cell r="F27"/>
          <cell r="G27"/>
          <cell r="H27"/>
          <cell r="I27"/>
          <cell r="J27"/>
          <cell r="K27"/>
          <cell r="L27"/>
          <cell r="M27"/>
          <cell r="N27"/>
          <cell r="O27"/>
          <cell r="P27" t="e">
            <v>#DIV/0!</v>
          </cell>
        </row>
        <row r="28">
          <cell r="D28" t="str">
            <v>0</v>
          </cell>
          <cell r="E28" t="str">
            <v>0</v>
          </cell>
          <cell r="F28"/>
          <cell r="G28"/>
          <cell r="H28"/>
          <cell r="I28"/>
          <cell r="J28"/>
          <cell r="K28"/>
          <cell r="L28"/>
          <cell r="M28"/>
          <cell r="N28"/>
          <cell r="O28"/>
          <cell r="P28" t="e">
            <v>#DIV/0!</v>
          </cell>
        </row>
        <row r="29">
          <cell r="D29" t="str">
            <v>0</v>
          </cell>
          <cell r="E29" t="str">
            <v>0</v>
          </cell>
          <cell r="F29"/>
          <cell r="G29"/>
          <cell r="H29"/>
          <cell r="I29"/>
          <cell r="J29"/>
          <cell r="K29"/>
          <cell r="L29"/>
          <cell r="M29"/>
          <cell r="N29"/>
          <cell r="O29"/>
          <cell r="P29" t="e">
            <v>#DIV/0!</v>
          </cell>
        </row>
        <row r="30">
          <cell r="D30" t="str">
            <v>0</v>
          </cell>
          <cell r="E30" t="str">
            <v>0</v>
          </cell>
          <cell r="F30"/>
          <cell r="G30"/>
          <cell r="H30"/>
          <cell r="I30"/>
          <cell r="J30"/>
          <cell r="K30"/>
          <cell r="L30"/>
          <cell r="M30"/>
          <cell r="N30"/>
          <cell r="O30"/>
          <cell r="P30" t="e">
            <v>#DIV/0!</v>
          </cell>
        </row>
        <row r="31">
          <cell r="D31" t="str">
            <v>0</v>
          </cell>
          <cell r="E31" t="str">
            <v>0</v>
          </cell>
          <cell r="F31"/>
          <cell r="G31"/>
          <cell r="H31"/>
          <cell r="I31"/>
          <cell r="J31"/>
          <cell r="K31"/>
          <cell r="L31"/>
          <cell r="M31"/>
          <cell r="N31"/>
          <cell r="O31"/>
          <cell r="P31" t="e">
            <v>#DIV/0!</v>
          </cell>
        </row>
        <row r="34">
          <cell r="D34"/>
          <cell r="E34"/>
          <cell r="F34"/>
          <cell r="G34"/>
          <cell r="H34"/>
          <cell r="I34"/>
          <cell r="J34"/>
          <cell r="K34"/>
          <cell r="L34"/>
          <cell r="M34"/>
          <cell r="N34"/>
          <cell r="O34"/>
          <cell r="P34">
            <v>10</v>
          </cell>
        </row>
        <row r="35">
          <cell r="D35" t="str">
            <v>0</v>
          </cell>
          <cell r="E35" t="str">
            <v>0</v>
          </cell>
          <cell r="F35"/>
          <cell r="G35"/>
          <cell r="H35"/>
          <cell r="I35"/>
          <cell r="J35"/>
          <cell r="K35"/>
          <cell r="L35"/>
          <cell r="M35"/>
          <cell r="N35"/>
          <cell r="O35"/>
          <cell r="P35">
            <v>0</v>
          </cell>
        </row>
        <row r="36">
          <cell r="D36"/>
          <cell r="E36"/>
          <cell r="F36"/>
          <cell r="G36"/>
          <cell r="H36"/>
          <cell r="I36"/>
          <cell r="J36"/>
          <cell r="K36"/>
          <cell r="L36"/>
          <cell r="M36"/>
          <cell r="N36"/>
          <cell r="O36"/>
          <cell r="P36">
            <v>25</v>
          </cell>
        </row>
        <row r="37">
          <cell r="D37">
            <v>3</v>
          </cell>
          <cell r="E37" t="str">
            <v>0</v>
          </cell>
          <cell r="F37"/>
          <cell r="G37"/>
          <cell r="H37"/>
          <cell r="I37"/>
          <cell r="J37"/>
          <cell r="K37"/>
          <cell r="L37"/>
          <cell r="M37"/>
          <cell r="N37"/>
          <cell r="O37"/>
          <cell r="P37">
            <v>3</v>
          </cell>
        </row>
        <row r="38">
          <cell r="D38"/>
          <cell r="E38"/>
          <cell r="F38"/>
          <cell r="G38"/>
          <cell r="H38"/>
          <cell r="I38"/>
          <cell r="J38"/>
          <cell r="K38"/>
          <cell r="L38"/>
          <cell r="M38"/>
          <cell r="N38"/>
          <cell r="O38"/>
          <cell r="P38">
            <v>11</v>
          </cell>
        </row>
        <row r="39">
          <cell r="D39">
            <v>3</v>
          </cell>
          <cell r="E39" t="str">
            <v>0</v>
          </cell>
          <cell r="F39"/>
          <cell r="G39"/>
          <cell r="H39"/>
          <cell r="I39"/>
          <cell r="J39"/>
          <cell r="K39"/>
          <cell r="L39"/>
          <cell r="M39"/>
          <cell r="N39"/>
          <cell r="O39"/>
          <cell r="P39">
            <v>3</v>
          </cell>
        </row>
        <row r="40">
          <cell r="D40"/>
          <cell r="E40"/>
          <cell r="F40"/>
          <cell r="G40"/>
          <cell r="H40"/>
          <cell r="I40"/>
          <cell r="J40"/>
          <cell r="K40"/>
          <cell r="L40"/>
          <cell r="M40"/>
          <cell r="N40"/>
          <cell r="O40"/>
          <cell r="P40">
            <v>30</v>
          </cell>
        </row>
        <row r="41">
          <cell r="D41">
            <v>1</v>
          </cell>
          <cell r="E41">
            <v>2</v>
          </cell>
          <cell r="F41"/>
          <cell r="G41"/>
          <cell r="H41"/>
          <cell r="I41"/>
          <cell r="J41"/>
          <cell r="K41"/>
          <cell r="L41"/>
          <cell r="M41"/>
          <cell r="N41"/>
          <cell r="O41"/>
          <cell r="P41">
            <v>3</v>
          </cell>
        </row>
        <row r="42">
          <cell r="D42"/>
          <cell r="E42"/>
          <cell r="F42"/>
          <cell r="G42"/>
          <cell r="H42"/>
          <cell r="I42"/>
          <cell r="J42"/>
          <cell r="K42"/>
          <cell r="L42"/>
          <cell r="M42"/>
          <cell r="N42"/>
          <cell r="O42"/>
          <cell r="P42">
            <v>11</v>
          </cell>
        </row>
        <row r="43">
          <cell r="D43">
            <v>2</v>
          </cell>
          <cell r="E43">
            <v>1</v>
          </cell>
          <cell r="F43"/>
          <cell r="G43"/>
          <cell r="H43"/>
          <cell r="I43"/>
          <cell r="J43"/>
          <cell r="K43"/>
          <cell r="L43"/>
          <cell r="M43"/>
          <cell r="N43"/>
          <cell r="O43"/>
          <cell r="P43">
            <v>3</v>
          </cell>
        </row>
        <row r="44">
          <cell r="D44"/>
          <cell r="E44"/>
          <cell r="F44"/>
          <cell r="G44"/>
          <cell r="H44"/>
          <cell r="I44"/>
          <cell r="J44"/>
          <cell r="K44"/>
          <cell r="L44"/>
          <cell r="M44"/>
          <cell r="N44"/>
          <cell r="O44"/>
          <cell r="P44">
            <v>0</v>
          </cell>
        </row>
        <row r="45">
          <cell r="D45" t="str">
            <v>0</v>
          </cell>
          <cell r="E45" t="str">
            <v>0</v>
          </cell>
          <cell r="F45"/>
          <cell r="G45"/>
          <cell r="H45"/>
          <cell r="I45"/>
          <cell r="J45"/>
          <cell r="K45"/>
          <cell r="L45"/>
          <cell r="M45"/>
          <cell r="N45"/>
          <cell r="O45"/>
          <cell r="P45">
            <v>0</v>
          </cell>
        </row>
        <row r="46">
          <cell r="D46"/>
          <cell r="E46"/>
          <cell r="F46"/>
          <cell r="G46"/>
          <cell r="H46"/>
          <cell r="I46"/>
          <cell r="J46"/>
          <cell r="K46"/>
          <cell r="L46"/>
          <cell r="M46"/>
          <cell r="N46"/>
          <cell r="O46"/>
          <cell r="P46">
            <v>0</v>
          </cell>
        </row>
        <row r="47">
          <cell r="D47" t="str">
            <v>0</v>
          </cell>
          <cell r="E47" t="str">
            <v>0</v>
          </cell>
          <cell r="F47"/>
          <cell r="G47"/>
          <cell r="H47"/>
          <cell r="I47"/>
          <cell r="J47"/>
          <cell r="K47"/>
          <cell r="L47"/>
          <cell r="M47"/>
          <cell r="N47"/>
          <cell r="O47"/>
          <cell r="P47">
            <v>0</v>
          </cell>
        </row>
        <row r="48">
          <cell r="D48"/>
          <cell r="E48"/>
          <cell r="F48"/>
          <cell r="G48"/>
          <cell r="H48"/>
          <cell r="I48"/>
          <cell r="J48"/>
          <cell r="K48"/>
          <cell r="L48"/>
          <cell r="M48"/>
          <cell r="N48"/>
          <cell r="O48"/>
          <cell r="P48">
            <v>5</v>
          </cell>
        </row>
        <row r="49">
          <cell r="D49" t="str">
            <v>0</v>
          </cell>
          <cell r="E49" t="str">
            <v>0</v>
          </cell>
          <cell r="F49"/>
          <cell r="G49"/>
          <cell r="H49"/>
          <cell r="I49"/>
          <cell r="J49"/>
          <cell r="K49"/>
          <cell r="L49"/>
          <cell r="M49"/>
          <cell r="N49"/>
          <cell r="O49"/>
          <cell r="P49">
            <v>0</v>
          </cell>
        </row>
        <row r="50">
          <cell r="D50"/>
          <cell r="E50"/>
          <cell r="F50"/>
          <cell r="G50"/>
          <cell r="H50"/>
          <cell r="I50"/>
          <cell r="J50"/>
          <cell r="K50"/>
          <cell r="L50"/>
          <cell r="M50"/>
          <cell r="N50"/>
          <cell r="O50"/>
          <cell r="P50">
            <v>92</v>
          </cell>
        </row>
        <row r="51">
          <cell r="D51">
            <v>9</v>
          </cell>
          <cell r="E51">
            <v>3</v>
          </cell>
          <cell r="F51"/>
          <cell r="G51"/>
          <cell r="H51"/>
          <cell r="I51"/>
          <cell r="J51"/>
          <cell r="K51"/>
          <cell r="L51"/>
          <cell r="M51"/>
          <cell r="N51"/>
          <cell r="O51"/>
          <cell r="P51">
            <v>12</v>
          </cell>
        </row>
        <row r="54">
          <cell r="D54"/>
          <cell r="E54"/>
          <cell r="F54"/>
          <cell r="G54"/>
          <cell r="H54"/>
          <cell r="I54"/>
          <cell r="J54"/>
          <cell r="K54"/>
          <cell r="L54"/>
          <cell r="M54"/>
          <cell r="N54"/>
          <cell r="O54"/>
          <cell r="P54">
            <v>2</v>
          </cell>
        </row>
        <row r="55">
          <cell r="D55">
            <v>0</v>
          </cell>
          <cell r="E55">
            <v>0</v>
          </cell>
          <cell r="F55">
            <v>0</v>
          </cell>
          <cell r="G55"/>
          <cell r="H55"/>
          <cell r="I55"/>
          <cell r="J55"/>
          <cell r="K55"/>
          <cell r="L55"/>
          <cell r="M55"/>
          <cell r="N55"/>
          <cell r="O55"/>
          <cell r="P55">
            <v>0</v>
          </cell>
        </row>
        <row r="56">
          <cell r="D56"/>
          <cell r="E56"/>
          <cell r="F56"/>
          <cell r="G56"/>
          <cell r="H56"/>
          <cell r="I56"/>
          <cell r="J56"/>
          <cell r="K56"/>
          <cell r="L56"/>
          <cell r="M56"/>
          <cell r="N56"/>
          <cell r="O56"/>
          <cell r="P56">
            <v>136</v>
          </cell>
        </row>
        <row r="57">
          <cell r="D57">
            <v>6</v>
          </cell>
          <cell r="E57">
            <v>5</v>
          </cell>
          <cell r="F57">
            <v>3</v>
          </cell>
          <cell r="G57"/>
          <cell r="H57"/>
          <cell r="I57"/>
          <cell r="J57"/>
          <cell r="K57"/>
          <cell r="L57"/>
          <cell r="M57"/>
          <cell r="N57"/>
          <cell r="O57"/>
          <cell r="P57">
            <v>14</v>
          </cell>
        </row>
        <row r="58">
          <cell r="D58"/>
          <cell r="E58"/>
          <cell r="F58"/>
          <cell r="G58"/>
          <cell r="H58"/>
          <cell r="I58"/>
          <cell r="J58"/>
          <cell r="K58"/>
          <cell r="L58"/>
          <cell r="M58"/>
          <cell r="N58"/>
          <cell r="O58"/>
          <cell r="P58">
            <v>101</v>
          </cell>
        </row>
        <row r="59">
          <cell r="D59">
            <v>2</v>
          </cell>
          <cell r="E59">
            <v>0</v>
          </cell>
          <cell r="F59">
            <v>1</v>
          </cell>
          <cell r="G59"/>
          <cell r="H59"/>
          <cell r="I59"/>
          <cell r="J59"/>
          <cell r="K59"/>
          <cell r="L59"/>
          <cell r="M59"/>
          <cell r="N59"/>
          <cell r="O59"/>
          <cell r="P59">
            <v>3</v>
          </cell>
        </row>
        <row r="60">
          <cell r="D60"/>
          <cell r="E60"/>
          <cell r="F60"/>
          <cell r="G60"/>
          <cell r="H60"/>
          <cell r="I60"/>
          <cell r="J60"/>
          <cell r="K60"/>
          <cell r="L60"/>
          <cell r="M60"/>
          <cell r="N60"/>
          <cell r="O60"/>
          <cell r="P60">
            <v>19</v>
          </cell>
        </row>
        <row r="61">
          <cell r="D61">
            <v>0</v>
          </cell>
          <cell r="E61">
            <v>2</v>
          </cell>
          <cell r="F61">
            <v>5</v>
          </cell>
          <cell r="G61"/>
          <cell r="H61"/>
          <cell r="I61"/>
          <cell r="J61"/>
          <cell r="K61"/>
          <cell r="L61"/>
          <cell r="M61"/>
          <cell r="N61"/>
          <cell r="O61"/>
          <cell r="P61">
            <v>7</v>
          </cell>
        </row>
        <row r="62">
          <cell r="D62"/>
          <cell r="E62"/>
          <cell r="F62"/>
          <cell r="G62"/>
          <cell r="H62"/>
          <cell r="I62"/>
          <cell r="J62"/>
          <cell r="K62"/>
          <cell r="L62"/>
          <cell r="M62"/>
          <cell r="N62"/>
          <cell r="O62"/>
          <cell r="P62">
            <v>83</v>
          </cell>
        </row>
        <row r="63">
          <cell r="D63">
            <v>3</v>
          </cell>
          <cell r="E63">
            <v>1</v>
          </cell>
          <cell r="F63">
            <v>2</v>
          </cell>
          <cell r="G63"/>
          <cell r="H63"/>
          <cell r="I63"/>
          <cell r="J63"/>
          <cell r="K63"/>
          <cell r="L63"/>
          <cell r="M63"/>
          <cell r="N63"/>
          <cell r="O63"/>
          <cell r="P63">
            <v>6</v>
          </cell>
        </row>
        <row r="64">
          <cell r="D64"/>
          <cell r="E64"/>
          <cell r="F64"/>
          <cell r="G64"/>
          <cell r="H64"/>
          <cell r="I64"/>
          <cell r="J64"/>
          <cell r="K64"/>
          <cell r="L64"/>
          <cell r="M64"/>
          <cell r="N64"/>
          <cell r="O64"/>
          <cell r="P64">
            <v>341</v>
          </cell>
        </row>
        <row r="65">
          <cell r="D65">
            <v>11</v>
          </cell>
          <cell r="E65">
            <v>8</v>
          </cell>
          <cell r="F65">
            <v>11</v>
          </cell>
          <cell r="G65"/>
          <cell r="H65"/>
          <cell r="I65"/>
          <cell r="J65"/>
          <cell r="K65"/>
          <cell r="L65"/>
          <cell r="M65"/>
          <cell r="N65"/>
          <cell r="O65"/>
          <cell r="P65">
            <v>30</v>
          </cell>
        </row>
        <row r="68">
          <cell r="D68">
            <v>0</v>
          </cell>
          <cell r="E68"/>
          <cell r="F68"/>
          <cell r="G68"/>
          <cell r="H68"/>
          <cell r="I68"/>
          <cell r="J68"/>
          <cell r="K68"/>
          <cell r="L68"/>
          <cell r="M68"/>
          <cell r="N68"/>
          <cell r="O68"/>
          <cell r="P68">
            <v>0</v>
          </cell>
        </row>
        <row r="69">
          <cell r="D69">
            <v>0</v>
          </cell>
          <cell r="E69"/>
          <cell r="F69"/>
          <cell r="G69"/>
          <cell r="H69"/>
          <cell r="I69"/>
          <cell r="J69"/>
          <cell r="K69"/>
          <cell r="L69"/>
          <cell r="M69"/>
          <cell r="N69"/>
          <cell r="O69"/>
          <cell r="P69">
            <v>0</v>
          </cell>
        </row>
        <row r="70">
          <cell r="D70">
            <v>3</v>
          </cell>
          <cell r="E70"/>
          <cell r="F70"/>
          <cell r="G70"/>
          <cell r="H70"/>
          <cell r="I70"/>
          <cell r="J70"/>
          <cell r="K70"/>
          <cell r="L70"/>
          <cell r="M70"/>
          <cell r="N70"/>
          <cell r="O70"/>
          <cell r="P70">
            <v>3</v>
          </cell>
        </row>
        <row r="71">
          <cell r="D71">
            <v>4</v>
          </cell>
          <cell r="E71"/>
          <cell r="F71"/>
          <cell r="G71"/>
          <cell r="H71"/>
          <cell r="I71"/>
          <cell r="J71"/>
          <cell r="K71"/>
          <cell r="L71"/>
          <cell r="M71"/>
          <cell r="N71"/>
          <cell r="O71"/>
          <cell r="P71">
            <v>4</v>
          </cell>
        </row>
        <row r="72">
          <cell r="D72">
            <v>1</v>
          </cell>
          <cell r="E72"/>
          <cell r="F72"/>
          <cell r="G72"/>
          <cell r="H72"/>
          <cell r="I72"/>
          <cell r="J72"/>
          <cell r="K72"/>
          <cell r="L72"/>
          <cell r="M72"/>
          <cell r="N72"/>
          <cell r="O72"/>
          <cell r="P72">
            <v>1</v>
          </cell>
        </row>
        <row r="73">
          <cell r="D73">
            <v>2</v>
          </cell>
          <cell r="E73"/>
          <cell r="F73"/>
          <cell r="G73"/>
          <cell r="H73"/>
          <cell r="I73"/>
          <cell r="J73"/>
          <cell r="K73"/>
          <cell r="L73"/>
          <cell r="M73"/>
          <cell r="N73"/>
          <cell r="O73"/>
          <cell r="P73">
            <v>2</v>
          </cell>
        </row>
        <row r="74">
          <cell r="D74">
            <v>0</v>
          </cell>
          <cell r="E74"/>
          <cell r="F74"/>
          <cell r="G74"/>
          <cell r="H74"/>
          <cell r="I74"/>
          <cell r="J74"/>
          <cell r="K74"/>
          <cell r="L74"/>
          <cell r="M74"/>
          <cell r="N74"/>
          <cell r="O74"/>
          <cell r="P74">
            <v>0</v>
          </cell>
        </row>
        <row r="75">
          <cell r="D75">
            <v>0</v>
          </cell>
          <cell r="E75"/>
          <cell r="F75"/>
          <cell r="G75"/>
          <cell r="H75"/>
          <cell r="I75"/>
          <cell r="J75"/>
          <cell r="K75"/>
          <cell r="L75"/>
          <cell r="M75"/>
          <cell r="N75"/>
          <cell r="O75"/>
          <cell r="P75">
            <v>0</v>
          </cell>
        </row>
        <row r="76">
          <cell r="D76">
            <v>1</v>
          </cell>
          <cell r="E76"/>
          <cell r="F76"/>
          <cell r="G76"/>
          <cell r="H76"/>
          <cell r="I76"/>
          <cell r="J76"/>
          <cell r="K76"/>
          <cell r="L76"/>
          <cell r="M76"/>
          <cell r="N76"/>
          <cell r="O76"/>
          <cell r="P76">
            <v>1</v>
          </cell>
        </row>
        <row r="77">
          <cell r="D77">
            <v>2</v>
          </cell>
          <cell r="E77"/>
          <cell r="F77"/>
          <cell r="G77"/>
          <cell r="H77"/>
          <cell r="I77"/>
          <cell r="J77"/>
          <cell r="K77"/>
          <cell r="L77"/>
          <cell r="M77"/>
          <cell r="N77"/>
          <cell r="O77"/>
          <cell r="P77">
            <v>2</v>
          </cell>
        </row>
        <row r="78">
          <cell r="D78">
            <v>5</v>
          </cell>
          <cell r="E78"/>
          <cell r="F78"/>
          <cell r="G78"/>
          <cell r="H78"/>
          <cell r="I78"/>
          <cell r="J78"/>
          <cell r="K78"/>
          <cell r="L78"/>
          <cell r="M78"/>
          <cell r="N78"/>
          <cell r="O78"/>
          <cell r="P78">
            <v>5</v>
          </cell>
        </row>
        <row r="79">
          <cell r="D79">
            <v>8</v>
          </cell>
          <cell r="E79"/>
          <cell r="F79"/>
          <cell r="G79"/>
          <cell r="H79"/>
          <cell r="I79"/>
          <cell r="J79"/>
          <cell r="K79"/>
          <cell r="L79"/>
          <cell r="M79"/>
          <cell r="N79"/>
          <cell r="O79"/>
          <cell r="P79">
            <v>8</v>
          </cell>
        </row>
        <row r="82">
          <cell r="D82" t="str">
            <v>0</v>
          </cell>
          <cell r="E82" t="str">
            <v>0</v>
          </cell>
          <cell r="F82"/>
          <cell r="G82"/>
          <cell r="H82"/>
          <cell r="I82"/>
          <cell r="J82"/>
          <cell r="K82"/>
          <cell r="L82"/>
          <cell r="M82"/>
          <cell r="N82"/>
          <cell r="O82"/>
          <cell r="P82"/>
        </row>
        <row r="83">
          <cell r="D83" t="str">
            <v>0</v>
          </cell>
          <cell r="E83" t="str">
            <v>0</v>
          </cell>
          <cell r="F83"/>
          <cell r="G83"/>
          <cell r="H83"/>
          <cell r="I83"/>
          <cell r="J83"/>
          <cell r="K83"/>
          <cell r="L83"/>
          <cell r="M83"/>
          <cell r="N83"/>
          <cell r="O83"/>
          <cell r="P83"/>
        </row>
        <row r="84">
          <cell r="D84" t="str">
            <v>0</v>
          </cell>
          <cell r="E84" t="str">
            <v>0</v>
          </cell>
          <cell r="F84"/>
          <cell r="G84"/>
          <cell r="H84"/>
          <cell r="I84"/>
          <cell r="J84"/>
          <cell r="K84"/>
          <cell r="L84"/>
          <cell r="M84"/>
          <cell r="N84"/>
          <cell r="O84"/>
          <cell r="P84"/>
        </row>
        <row r="85">
          <cell r="D85" t="str">
            <v>0</v>
          </cell>
          <cell r="E85" t="str">
            <v>0</v>
          </cell>
          <cell r="F85"/>
          <cell r="G85"/>
          <cell r="H85"/>
          <cell r="I85"/>
          <cell r="J85"/>
          <cell r="K85"/>
          <cell r="L85"/>
          <cell r="M85"/>
          <cell r="N85"/>
          <cell r="O85"/>
          <cell r="P85"/>
        </row>
        <row r="86">
          <cell r="D86" t="str">
            <v>0</v>
          </cell>
          <cell r="E86" t="str">
            <v>0</v>
          </cell>
          <cell r="F86"/>
          <cell r="G86"/>
          <cell r="H86"/>
          <cell r="I86"/>
          <cell r="J86"/>
          <cell r="K86"/>
          <cell r="L86"/>
          <cell r="M86"/>
          <cell r="N86"/>
          <cell r="O86"/>
          <cell r="P86"/>
        </row>
        <row r="87">
          <cell r="D87" t="str">
            <v>0</v>
          </cell>
          <cell r="E87" t="str">
            <v>0</v>
          </cell>
          <cell r="F87"/>
          <cell r="G87"/>
          <cell r="H87"/>
          <cell r="I87"/>
          <cell r="J87"/>
          <cell r="K87"/>
          <cell r="L87"/>
          <cell r="M87"/>
          <cell r="N87"/>
          <cell r="O87"/>
          <cell r="P87"/>
        </row>
        <row r="88">
          <cell r="D88" t="str">
            <v>0</v>
          </cell>
          <cell r="E88" t="str">
            <v>0</v>
          </cell>
          <cell r="F88"/>
          <cell r="G88"/>
          <cell r="H88"/>
          <cell r="I88"/>
          <cell r="J88"/>
          <cell r="K88"/>
          <cell r="L88"/>
          <cell r="M88"/>
          <cell r="N88"/>
          <cell r="O88"/>
          <cell r="P88"/>
        </row>
        <row r="89">
          <cell r="D89" t="str">
            <v>0</v>
          </cell>
          <cell r="E89" t="str">
            <v>0</v>
          </cell>
          <cell r="F89"/>
          <cell r="G89"/>
          <cell r="H89"/>
          <cell r="I89"/>
          <cell r="J89"/>
          <cell r="K89"/>
          <cell r="L89"/>
          <cell r="M89"/>
          <cell r="N89"/>
          <cell r="O89"/>
          <cell r="P89"/>
        </row>
        <row r="90">
          <cell r="D90" t="str">
            <v>0</v>
          </cell>
          <cell r="E90" t="str">
            <v>0</v>
          </cell>
          <cell r="F90"/>
          <cell r="G90"/>
          <cell r="H90"/>
          <cell r="I90"/>
          <cell r="J90"/>
          <cell r="K90"/>
          <cell r="L90"/>
          <cell r="M90"/>
          <cell r="N90"/>
          <cell r="O90"/>
          <cell r="P90"/>
        </row>
        <row r="91">
          <cell r="D91" t="str">
            <v>0</v>
          </cell>
          <cell r="E91" t="str">
            <v>0</v>
          </cell>
          <cell r="F91"/>
          <cell r="G91"/>
          <cell r="H91"/>
          <cell r="I91"/>
          <cell r="J91"/>
          <cell r="K91"/>
          <cell r="L91"/>
          <cell r="M91"/>
          <cell r="N91"/>
          <cell r="O91"/>
          <cell r="P91"/>
        </row>
        <row r="92">
          <cell r="D92" t="str">
            <v>0</v>
          </cell>
          <cell r="E92" t="str">
            <v>0</v>
          </cell>
          <cell r="F92"/>
          <cell r="G92"/>
          <cell r="H92"/>
          <cell r="I92"/>
          <cell r="J92"/>
          <cell r="K92"/>
          <cell r="L92"/>
          <cell r="M92"/>
          <cell r="N92"/>
          <cell r="O92"/>
          <cell r="P92"/>
        </row>
        <row r="93">
          <cell r="D93" t="str">
            <v>0</v>
          </cell>
          <cell r="E93" t="str">
            <v>0</v>
          </cell>
          <cell r="F93"/>
          <cell r="G93"/>
          <cell r="H93"/>
          <cell r="I93"/>
          <cell r="J93"/>
          <cell r="K93"/>
          <cell r="L93"/>
          <cell r="M93"/>
          <cell r="N93"/>
          <cell r="O93"/>
          <cell r="P93"/>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cell r="F3"/>
          <cell r="G3"/>
          <cell r="H3"/>
          <cell r="I3"/>
          <cell r="J3"/>
          <cell r="K3"/>
          <cell r="L3"/>
          <cell r="M3"/>
          <cell r="N3"/>
          <cell r="O3">
            <v>66</v>
          </cell>
          <cell r="S3">
            <v>1</v>
          </cell>
          <cell r="T3">
            <v>0</v>
          </cell>
          <cell r="U3"/>
          <cell r="V3"/>
          <cell r="W3"/>
          <cell r="X3"/>
          <cell r="Y3"/>
          <cell r="Z3"/>
          <cell r="AA3"/>
          <cell r="AB3"/>
          <cell r="AC3"/>
          <cell r="AD3"/>
          <cell r="AE3">
            <v>1</v>
          </cell>
        </row>
        <row r="4">
          <cell r="C4">
            <v>-0.71134020618556704</v>
          </cell>
          <cell r="D4">
            <v>-0.49333333333333329</v>
          </cell>
          <cell r="E4"/>
          <cell r="F4"/>
          <cell r="G4"/>
          <cell r="H4"/>
          <cell r="I4"/>
          <cell r="J4"/>
          <cell r="K4"/>
          <cell r="L4"/>
          <cell r="M4"/>
          <cell r="N4"/>
          <cell r="O4">
            <v>-0.8595744680851064</v>
          </cell>
          <cell r="S4">
            <v>-0.9</v>
          </cell>
          <cell r="T4">
            <v>-1</v>
          </cell>
          <cell r="U4"/>
          <cell r="V4"/>
          <cell r="W4"/>
          <cell r="X4"/>
          <cell r="Y4"/>
          <cell r="Z4"/>
          <cell r="AA4"/>
          <cell r="AB4"/>
          <cell r="AC4"/>
          <cell r="AD4"/>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cell r="F6"/>
          <cell r="G6"/>
          <cell r="H6"/>
          <cell r="I6"/>
          <cell r="J6"/>
          <cell r="K6"/>
          <cell r="L6"/>
          <cell r="M6"/>
          <cell r="N6"/>
          <cell r="O6">
            <v>241</v>
          </cell>
          <cell r="S6">
            <v>40</v>
          </cell>
          <cell r="T6">
            <v>34</v>
          </cell>
          <cell r="U6"/>
          <cell r="V6"/>
          <cell r="W6"/>
          <cell r="X6"/>
          <cell r="Y6"/>
          <cell r="Z6"/>
          <cell r="AA6"/>
          <cell r="AB6"/>
          <cell r="AC6"/>
          <cell r="AD6"/>
          <cell r="AE6">
            <v>74</v>
          </cell>
        </row>
        <row r="7">
          <cell r="C7">
            <v>-0.60167130919220058</v>
          </cell>
          <cell r="D7">
            <v>-0.72237960339943341</v>
          </cell>
          <cell r="E7"/>
          <cell r="F7"/>
          <cell r="G7"/>
          <cell r="H7"/>
          <cell r="I7"/>
          <cell r="J7"/>
          <cell r="K7"/>
          <cell r="L7"/>
          <cell r="M7"/>
          <cell r="N7"/>
          <cell r="O7">
            <v>-0.92764935454818376</v>
          </cell>
          <cell r="S7">
            <v>-0.66101694915254239</v>
          </cell>
          <cell r="T7">
            <v>-0.68518518518518512</v>
          </cell>
          <cell r="U7"/>
          <cell r="V7"/>
          <cell r="W7"/>
          <cell r="X7"/>
          <cell r="Y7"/>
          <cell r="Z7"/>
          <cell r="AA7"/>
          <cell r="AB7"/>
          <cell r="AC7"/>
          <cell r="AD7"/>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cell r="F9"/>
          <cell r="G9"/>
          <cell r="H9"/>
          <cell r="I9"/>
          <cell r="J9"/>
          <cell r="K9"/>
          <cell r="L9"/>
          <cell r="M9"/>
          <cell r="N9"/>
          <cell r="O9">
            <v>101</v>
          </cell>
          <cell r="S9">
            <v>15</v>
          </cell>
          <cell r="T9">
            <v>17</v>
          </cell>
          <cell r="U9"/>
          <cell r="V9"/>
          <cell r="W9"/>
          <cell r="X9"/>
          <cell r="Y9"/>
          <cell r="Z9"/>
          <cell r="AA9"/>
          <cell r="AB9"/>
          <cell r="AC9"/>
          <cell r="AD9"/>
          <cell r="AE9">
            <v>32</v>
          </cell>
        </row>
        <row r="10">
          <cell r="C10">
            <v>-0.7699530516431925</v>
          </cell>
          <cell r="D10">
            <v>-0.7189189189189189</v>
          </cell>
          <cell r="E10"/>
          <cell r="F10"/>
          <cell r="G10"/>
          <cell r="H10"/>
          <cell r="I10"/>
          <cell r="J10"/>
          <cell r="K10"/>
          <cell r="L10"/>
          <cell r="M10"/>
          <cell r="N10"/>
          <cell r="O10">
            <v>-0.92790863668807999</v>
          </cell>
          <cell r="S10">
            <v>-0.375</v>
          </cell>
          <cell r="T10">
            <v>0.21428571428571419</v>
          </cell>
          <cell r="U10"/>
          <cell r="V10"/>
          <cell r="W10"/>
          <cell r="X10"/>
          <cell r="Y10"/>
          <cell r="Z10"/>
          <cell r="AA10"/>
          <cell r="AB10"/>
          <cell r="AC10"/>
          <cell r="AD10"/>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cell r="F12"/>
          <cell r="G12"/>
          <cell r="H12"/>
          <cell r="I12"/>
          <cell r="J12"/>
          <cell r="K12"/>
          <cell r="L12"/>
          <cell r="M12"/>
          <cell r="N12"/>
          <cell r="O12">
            <v>64</v>
          </cell>
          <cell r="S12">
            <v>15</v>
          </cell>
          <cell r="T12">
            <v>6</v>
          </cell>
          <cell r="U12"/>
          <cell r="V12"/>
          <cell r="W12"/>
          <cell r="X12"/>
          <cell r="Y12"/>
          <cell r="Z12"/>
          <cell r="AA12"/>
          <cell r="AB12"/>
          <cell r="AC12"/>
          <cell r="AD12"/>
          <cell r="AE12">
            <v>21</v>
          </cell>
        </row>
        <row r="13">
          <cell r="C13">
            <v>-0.90816326530612246</v>
          </cell>
          <cell r="D13">
            <v>-0.76433121019108285</v>
          </cell>
          <cell r="E13"/>
          <cell r="F13"/>
          <cell r="G13"/>
          <cell r="H13"/>
          <cell r="I13"/>
          <cell r="J13"/>
          <cell r="K13"/>
          <cell r="L13"/>
          <cell r="M13"/>
          <cell r="N13"/>
          <cell r="O13">
            <v>-0.95583160800552103</v>
          </cell>
          <cell r="S13">
            <v>-0.81927710843373491</v>
          </cell>
          <cell r="T13">
            <v>-0.90769230769230769</v>
          </cell>
          <cell r="U13"/>
          <cell r="V13"/>
          <cell r="W13"/>
          <cell r="X13"/>
          <cell r="Y13"/>
          <cell r="Z13"/>
          <cell r="AA13"/>
          <cell r="AB13"/>
          <cell r="AC13"/>
          <cell r="AD13"/>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cell r="F15"/>
          <cell r="G15"/>
          <cell r="H15"/>
          <cell r="I15"/>
          <cell r="J15"/>
          <cell r="K15"/>
          <cell r="L15"/>
          <cell r="M15"/>
          <cell r="N15"/>
          <cell r="O15">
            <v>238</v>
          </cell>
          <cell r="S15">
            <v>19</v>
          </cell>
          <cell r="T15">
            <v>24</v>
          </cell>
          <cell r="U15"/>
          <cell r="V15"/>
          <cell r="W15"/>
          <cell r="X15"/>
          <cell r="Y15"/>
          <cell r="Z15"/>
          <cell r="AA15"/>
          <cell r="AB15"/>
          <cell r="AC15"/>
          <cell r="AD15"/>
          <cell r="AE15">
            <v>43</v>
          </cell>
        </row>
        <row r="16">
          <cell r="C16">
            <v>-0.41566265060240959</v>
          </cell>
          <cell r="D16">
            <v>-0.23369565217391308</v>
          </cell>
          <cell r="E16"/>
          <cell r="F16"/>
          <cell r="G16"/>
          <cell r="H16"/>
          <cell r="I16"/>
          <cell r="J16"/>
          <cell r="K16"/>
          <cell r="L16"/>
          <cell r="M16"/>
          <cell r="N16"/>
          <cell r="O16">
            <v>-0.87374005305039781</v>
          </cell>
          <cell r="S16">
            <v>-0.17391304347826086</v>
          </cell>
          <cell r="T16">
            <v>-7.6923076923076872E-2</v>
          </cell>
          <cell r="U16"/>
          <cell r="V16"/>
          <cell r="W16"/>
          <cell r="X16"/>
          <cell r="Y16"/>
          <cell r="Z16"/>
          <cell r="AA16"/>
          <cell r="AB16"/>
          <cell r="AC16"/>
          <cell r="AD16"/>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cell r="F18"/>
          <cell r="G18"/>
          <cell r="H18"/>
          <cell r="I18"/>
          <cell r="J18"/>
          <cell r="K18"/>
          <cell r="L18"/>
          <cell r="M18"/>
          <cell r="N18"/>
          <cell r="O18">
            <v>710</v>
          </cell>
          <cell r="S18">
            <v>90</v>
          </cell>
          <cell r="T18">
            <v>81</v>
          </cell>
          <cell r="U18"/>
          <cell r="V18"/>
          <cell r="W18"/>
          <cell r="X18"/>
          <cell r="Y18"/>
          <cell r="Z18"/>
          <cell r="AA18"/>
          <cell r="AB18"/>
          <cell r="AC18"/>
          <cell r="AD18"/>
          <cell r="AE18">
            <v>171</v>
          </cell>
        </row>
        <row r="19">
          <cell r="C19">
            <v>-0.69530558015943311</v>
          </cell>
          <cell r="D19">
            <v>-0.61635220125786161</v>
          </cell>
          <cell r="E19"/>
          <cell r="F19"/>
          <cell r="G19"/>
          <cell r="H19"/>
          <cell r="I19"/>
          <cell r="J19"/>
          <cell r="K19"/>
          <cell r="L19"/>
          <cell r="M19"/>
          <cell r="N19"/>
          <cell r="O19">
            <v>-0.91682286785379574</v>
          </cell>
          <cell r="S19">
            <v>-0.65116279069767447</v>
          </cell>
          <cell r="T19">
            <v>-0.62325581395348839</v>
          </cell>
          <cell r="U19"/>
          <cell r="V19"/>
          <cell r="W19"/>
          <cell r="X19"/>
          <cell r="Y19"/>
          <cell r="Z19"/>
          <cell r="AA19"/>
          <cell r="AB19"/>
          <cell r="AC19"/>
          <cell r="AD19"/>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cell r="J2"/>
          <cell r="K2"/>
          <cell r="L2"/>
          <cell r="M2"/>
          <cell r="N2"/>
          <cell r="O2"/>
          <cell r="P2"/>
          <cell r="Q2"/>
          <cell r="R2"/>
          <cell r="S2"/>
        </row>
        <row r="3">
          <cell r="G3">
            <v>0</v>
          </cell>
          <cell r="H3">
            <v>0</v>
          </cell>
          <cell r="I3"/>
          <cell r="J3"/>
          <cell r="K3"/>
          <cell r="L3"/>
          <cell r="M3"/>
          <cell r="N3"/>
          <cell r="O3"/>
          <cell r="P3"/>
          <cell r="Q3"/>
          <cell r="R3"/>
          <cell r="S3"/>
        </row>
        <row r="4">
          <cell r="G4">
            <v>12</v>
          </cell>
          <cell r="H4">
            <v>12</v>
          </cell>
          <cell r="I4"/>
          <cell r="J4"/>
          <cell r="K4"/>
          <cell r="L4"/>
          <cell r="M4"/>
          <cell r="N4"/>
          <cell r="O4"/>
          <cell r="P4"/>
          <cell r="Q4"/>
          <cell r="R4"/>
          <cell r="S4"/>
        </row>
        <row r="5">
          <cell r="G5">
            <v>0</v>
          </cell>
          <cell r="H5">
            <v>0</v>
          </cell>
          <cell r="I5"/>
          <cell r="J5"/>
          <cell r="K5"/>
          <cell r="L5"/>
          <cell r="M5"/>
          <cell r="N5"/>
          <cell r="O5"/>
          <cell r="P5"/>
          <cell r="Q5"/>
          <cell r="R5"/>
          <cell r="S5"/>
        </row>
        <row r="6">
          <cell r="G6">
            <v>0</v>
          </cell>
          <cell r="H6">
            <v>0</v>
          </cell>
          <cell r="I6"/>
          <cell r="J6"/>
          <cell r="K6"/>
          <cell r="L6"/>
          <cell r="M6"/>
          <cell r="N6"/>
          <cell r="O6"/>
          <cell r="P6"/>
          <cell r="Q6"/>
          <cell r="R6"/>
          <cell r="S6"/>
        </row>
        <row r="7">
          <cell r="G7">
            <v>0.5</v>
          </cell>
          <cell r="H7">
            <v>0.5</v>
          </cell>
          <cell r="I7"/>
          <cell r="J7"/>
          <cell r="K7"/>
          <cell r="L7"/>
          <cell r="M7"/>
          <cell r="N7"/>
          <cell r="O7"/>
          <cell r="P7"/>
          <cell r="Q7"/>
          <cell r="R7"/>
          <cell r="S7"/>
        </row>
        <row r="8">
          <cell r="G8">
            <v>0</v>
          </cell>
          <cell r="H8">
            <v>37</v>
          </cell>
          <cell r="I8"/>
          <cell r="J8"/>
          <cell r="K8"/>
          <cell r="L8"/>
          <cell r="M8"/>
          <cell r="N8"/>
          <cell r="O8"/>
          <cell r="P8"/>
          <cell r="Q8"/>
          <cell r="R8"/>
          <cell r="S8"/>
        </row>
        <row r="9">
          <cell r="G9">
            <v>0</v>
          </cell>
          <cell r="H9">
            <v>19</v>
          </cell>
          <cell r="I9"/>
          <cell r="J9"/>
          <cell r="K9"/>
          <cell r="L9"/>
          <cell r="M9"/>
          <cell r="N9"/>
          <cell r="O9"/>
          <cell r="P9"/>
          <cell r="Q9"/>
          <cell r="R9"/>
          <cell r="S9"/>
        </row>
        <row r="10">
          <cell r="G10">
            <v>12</v>
          </cell>
          <cell r="H10">
            <v>12</v>
          </cell>
          <cell r="I10"/>
          <cell r="J10"/>
          <cell r="K10"/>
          <cell r="L10"/>
          <cell r="M10"/>
          <cell r="N10"/>
          <cell r="O10"/>
          <cell r="P10"/>
          <cell r="Q10"/>
          <cell r="R10"/>
          <cell r="S10"/>
        </row>
        <row r="11">
          <cell r="G11">
            <v>0</v>
          </cell>
          <cell r="H11">
            <v>4.3899999999999997</v>
          </cell>
          <cell r="I11"/>
          <cell r="J11"/>
          <cell r="K11"/>
          <cell r="L11"/>
          <cell r="M11"/>
          <cell r="N11"/>
          <cell r="O11"/>
          <cell r="P11"/>
          <cell r="Q11"/>
          <cell r="R11"/>
          <cell r="S11"/>
        </row>
        <row r="12">
          <cell r="G12">
            <v>0</v>
          </cell>
          <cell r="H12">
            <v>2.2000000000000002</v>
          </cell>
          <cell r="I12"/>
          <cell r="J12"/>
          <cell r="K12"/>
          <cell r="L12"/>
          <cell r="M12"/>
          <cell r="N12"/>
          <cell r="O12"/>
          <cell r="P12"/>
          <cell r="Q12"/>
          <cell r="R12"/>
          <cell r="S12"/>
        </row>
        <row r="13">
          <cell r="G13">
            <v>0.5</v>
          </cell>
          <cell r="H13">
            <v>0.5</v>
          </cell>
          <cell r="I13"/>
          <cell r="J13"/>
          <cell r="K13"/>
          <cell r="L13"/>
          <cell r="M13"/>
          <cell r="N13"/>
          <cell r="O13"/>
          <cell r="P13"/>
          <cell r="Q13"/>
          <cell r="R13"/>
          <cell r="S13"/>
        </row>
        <row r="14">
          <cell r="G14">
            <v>0</v>
          </cell>
          <cell r="H14">
            <v>0</v>
          </cell>
          <cell r="I14"/>
          <cell r="J14"/>
          <cell r="K14"/>
          <cell r="L14"/>
          <cell r="M14"/>
          <cell r="N14"/>
          <cell r="O14"/>
          <cell r="P14"/>
          <cell r="Q14"/>
          <cell r="R14"/>
          <cell r="S14"/>
        </row>
        <row r="15">
          <cell r="G15">
            <v>0</v>
          </cell>
          <cell r="H15">
            <v>0</v>
          </cell>
          <cell r="I15"/>
          <cell r="J15"/>
          <cell r="K15"/>
          <cell r="L15"/>
          <cell r="M15"/>
          <cell r="N15"/>
          <cell r="O15"/>
          <cell r="P15"/>
          <cell r="Q15"/>
          <cell r="R15"/>
          <cell r="S15"/>
        </row>
        <row r="16">
          <cell r="G16">
            <v>12</v>
          </cell>
          <cell r="H16">
            <v>12</v>
          </cell>
          <cell r="I16"/>
          <cell r="J16"/>
          <cell r="K16"/>
          <cell r="L16"/>
          <cell r="M16"/>
          <cell r="N16"/>
          <cell r="O16"/>
          <cell r="P16"/>
          <cell r="Q16"/>
          <cell r="R16"/>
          <cell r="S16"/>
        </row>
        <row r="17">
          <cell r="G17">
            <v>0</v>
          </cell>
          <cell r="H17">
            <v>0</v>
          </cell>
          <cell r="I17"/>
          <cell r="J17"/>
          <cell r="K17"/>
          <cell r="L17"/>
          <cell r="M17"/>
          <cell r="N17"/>
          <cell r="O17"/>
          <cell r="P17"/>
          <cell r="Q17"/>
          <cell r="R17"/>
          <cell r="S17"/>
        </row>
        <row r="18">
          <cell r="G18">
            <v>0</v>
          </cell>
          <cell r="H18">
            <v>0</v>
          </cell>
          <cell r="I18"/>
          <cell r="J18"/>
          <cell r="K18"/>
          <cell r="L18"/>
          <cell r="M18"/>
          <cell r="N18"/>
          <cell r="O18"/>
          <cell r="P18"/>
          <cell r="Q18"/>
          <cell r="R18"/>
          <cell r="S18"/>
        </row>
        <row r="19">
          <cell r="G19">
            <v>0.5</v>
          </cell>
          <cell r="H19">
            <v>0.5</v>
          </cell>
          <cell r="I19"/>
          <cell r="J19"/>
          <cell r="K19"/>
          <cell r="L19"/>
          <cell r="M19"/>
          <cell r="N19"/>
          <cell r="O19"/>
          <cell r="P19"/>
          <cell r="Q19"/>
          <cell r="R19"/>
          <cell r="S19"/>
        </row>
        <row r="20">
          <cell r="G20">
            <v>0</v>
          </cell>
          <cell r="H20">
            <v>0</v>
          </cell>
          <cell r="I20"/>
          <cell r="J20"/>
          <cell r="K20"/>
          <cell r="L20"/>
          <cell r="M20"/>
          <cell r="N20"/>
          <cell r="O20"/>
          <cell r="P20"/>
          <cell r="Q20"/>
          <cell r="R20"/>
          <cell r="S20"/>
        </row>
        <row r="21">
          <cell r="G21">
            <v>0</v>
          </cell>
          <cell r="H21">
            <v>0</v>
          </cell>
          <cell r="I21"/>
          <cell r="J21"/>
          <cell r="K21"/>
          <cell r="L21"/>
          <cell r="M21"/>
          <cell r="N21"/>
          <cell r="O21"/>
          <cell r="P21"/>
          <cell r="Q21"/>
          <cell r="R21"/>
          <cell r="S21"/>
        </row>
        <row r="22">
          <cell r="G22">
            <v>12</v>
          </cell>
          <cell r="H22">
            <v>12</v>
          </cell>
          <cell r="I22"/>
          <cell r="J22"/>
          <cell r="K22"/>
          <cell r="L22"/>
          <cell r="M22"/>
          <cell r="N22"/>
          <cell r="O22"/>
          <cell r="P22"/>
          <cell r="Q22"/>
          <cell r="R22"/>
          <cell r="S22"/>
        </row>
        <row r="23">
          <cell r="G23">
            <v>0</v>
          </cell>
          <cell r="H23">
            <v>0</v>
          </cell>
          <cell r="I23"/>
          <cell r="J23"/>
          <cell r="K23"/>
          <cell r="L23"/>
          <cell r="M23"/>
          <cell r="N23"/>
          <cell r="O23"/>
          <cell r="P23"/>
          <cell r="Q23"/>
          <cell r="R23"/>
          <cell r="S23"/>
        </row>
        <row r="24">
          <cell r="G24">
            <v>0</v>
          </cell>
          <cell r="H24">
            <v>0</v>
          </cell>
          <cell r="I24"/>
          <cell r="J24"/>
          <cell r="K24"/>
          <cell r="L24"/>
          <cell r="M24"/>
          <cell r="N24"/>
          <cell r="O24"/>
          <cell r="P24"/>
          <cell r="Q24"/>
          <cell r="R24"/>
          <cell r="S24"/>
        </row>
        <row r="25">
          <cell r="G25">
            <v>0.5</v>
          </cell>
          <cell r="H25">
            <v>0.5</v>
          </cell>
          <cell r="I25"/>
          <cell r="J25"/>
          <cell r="K25"/>
          <cell r="L25"/>
          <cell r="M25"/>
          <cell r="N25"/>
          <cell r="O25"/>
          <cell r="P25"/>
          <cell r="Q25"/>
          <cell r="R25"/>
          <cell r="S25"/>
        </row>
        <row r="26">
          <cell r="G26">
            <v>0</v>
          </cell>
          <cell r="H26">
            <v>0</v>
          </cell>
          <cell r="I26"/>
          <cell r="J26"/>
          <cell r="K26"/>
          <cell r="L26"/>
          <cell r="M26"/>
          <cell r="N26"/>
          <cell r="O26"/>
          <cell r="P26"/>
          <cell r="Q26"/>
          <cell r="R26"/>
          <cell r="S26"/>
        </row>
        <row r="27">
          <cell r="G27">
            <v>0</v>
          </cell>
          <cell r="H27">
            <v>0</v>
          </cell>
          <cell r="I27"/>
          <cell r="J27"/>
          <cell r="K27"/>
          <cell r="L27"/>
          <cell r="M27"/>
          <cell r="N27"/>
          <cell r="O27"/>
          <cell r="P27"/>
          <cell r="Q27"/>
          <cell r="R27"/>
          <cell r="S27"/>
        </row>
        <row r="28">
          <cell r="G28">
            <v>12</v>
          </cell>
          <cell r="H28">
            <v>12</v>
          </cell>
          <cell r="I28"/>
          <cell r="J28"/>
          <cell r="K28"/>
          <cell r="L28"/>
          <cell r="M28"/>
          <cell r="N28"/>
          <cell r="O28"/>
          <cell r="P28"/>
          <cell r="Q28"/>
          <cell r="R28"/>
          <cell r="S28"/>
        </row>
        <row r="29">
          <cell r="G29">
            <v>0</v>
          </cell>
          <cell r="H29">
            <v>0</v>
          </cell>
          <cell r="I29"/>
          <cell r="J29"/>
          <cell r="K29"/>
          <cell r="L29"/>
          <cell r="M29"/>
          <cell r="N29"/>
          <cell r="O29"/>
          <cell r="P29"/>
          <cell r="Q29"/>
          <cell r="R29"/>
          <cell r="S29"/>
        </row>
        <row r="30">
          <cell r="G30">
            <v>0</v>
          </cell>
          <cell r="H30">
            <v>0</v>
          </cell>
          <cell r="I30"/>
          <cell r="J30"/>
          <cell r="K30"/>
          <cell r="L30"/>
          <cell r="M30"/>
          <cell r="N30"/>
          <cell r="O30"/>
          <cell r="P30"/>
          <cell r="Q30"/>
          <cell r="R30"/>
          <cell r="S30"/>
        </row>
        <row r="31">
          <cell r="G31">
            <v>0.5</v>
          </cell>
          <cell r="H31">
            <v>0.5</v>
          </cell>
          <cell r="I31"/>
          <cell r="J31"/>
          <cell r="K31"/>
          <cell r="L31"/>
          <cell r="M31"/>
          <cell r="N31"/>
          <cell r="O31"/>
          <cell r="P31"/>
          <cell r="Q31"/>
          <cell r="R31"/>
          <cell r="S31"/>
        </row>
        <row r="32">
          <cell r="G32">
            <v>0</v>
          </cell>
          <cell r="H32">
            <v>0</v>
          </cell>
          <cell r="I32"/>
          <cell r="J32"/>
          <cell r="K32"/>
          <cell r="L32"/>
          <cell r="M32"/>
          <cell r="N32"/>
          <cell r="O32"/>
          <cell r="P32"/>
          <cell r="Q32"/>
          <cell r="R32"/>
          <cell r="S32"/>
        </row>
        <row r="33">
          <cell r="G33">
            <v>0</v>
          </cell>
          <cell r="H33">
            <v>0</v>
          </cell>
          <cell r="I33"/>
          <cell r="J33"/>
          <cell r="K33"/>
          <cell r="L33"/>
          <cell r="M33"/>
          <cell r="N33"/>
          <cell r="O33"/>
          <cell r="P33"/>
          <cell r="Q33"/>
          <cell r="R33"/>
          <cell r="S33"/>
        </row>
        <row r="34">
          <cell r="G34">
            <v>12</v>
          </cell>
          <cell r="H34">
            <v>12</v>
          </cell>
          <cell r="I34"/>
          <cell r="J34"/>
          <cell r="K34"/>
          <cell r="L34"/>
          <cell r="M34"/>
          <cell r="N34"/>
          <cell r="O34"/>
          <cell r="P34"/>
          <cell r="Q34"/>
          <cell r="R34"/>
          <cell r="S34"/>
        </row>
        <row r="35">
          <cell r="G35">
            <v>0</v>
          </cell>
          <cell r="H35">
            <v>0</v>
          </cell>
          <cell r="I35"/>
          <cell r="J35"/>
          <cell r="K35"/>
          <cell r="L35"/>
          <cell r="M35"/>
          <cell r="N35"/>
          <cell r="O35"/>
          <cell r="P35"/>
          <cell r="Q35"/>
          <cell r="R35"/>
          <cell r="S35"/>
        </row>
        <row r="36">
          <cell r="G36">
            <v>0</v>
          </cell>
          <cell r="H36">
            <v>0</v>
          </cell>
          <cell r="I36"/>
          <cell r="J36"/>
          <cell r="K36"/>
          <cell r="L36"/>
          <cell r="M36"/>
          <cell r="N36"/>
          <cell r="O36"/>
          <cell r="P36"/>
          <cell r="Q36"/>
          <cell r="R36"/>
          <cell r="S36"/>
        </row>
        <row r="37">
          <cell r="G37">
            <v>0.5</v>
          </cell>
          <cell r="H37">
            <v>0.5</v>
          </cell>
          <cell r="I37"/>
          <cell r="J37"/>
          <cell r="K37"/>
          <cell r="L37"/>
          <cell r="M37"/>
          <cell r="N37"/>
          <cell r="O37"/>
          <cell r="P37"/>
          <cell r="Q37"/>
          <cell r="R37"/>
          <cell r="S37"/>
        </row>
        <row r="38">
          <cell r="G38">
            <v>0</v>
          </cell>
          <cell r="H38">
            <v>0</v>
          </cell>
          <cell r="I38"/>
          <cell r="J38"/>
          <cell r="K38"/>
          <cell r="L38"/>
          <cell r="M38"/>
          <cell r="N38"/>
          <cell r="O38"/>
          <cell r="P38"/>
          <cell r="Q38"/>
          <cell r="R38"/>
          <cell r="S38"/>
        </row>
        <row r="39">
          <cell r="G39">
            <v>0</v>
          </cell>
          <cell r="H39">
            <v>0</v>
          </cell>
          <cell r="I39"/>
          <cell r="J39"/>
          <cell r="K39"/>
          <cell r="L39"/>
          <cell r="M39"/>
          <cell r="N39"/>
          <cell r="O39"/>
          <cell r="P39"/>
          <cell r="Q39"/>
          <cell r="R39"/>
          <cell r="S39"/>
        </row>
        <row r="40">
          <cell r="G40">
            <v>12</v>
          </cell>
          <cell r="H40">
            <v>12</v>
          </cell>
          <cell r="I40"/>
          <cell r="J40"/>
          <cell r="K40"/>
          <cell r="L40"/>
          <cell r="M40"/>
          <cell r="N40"/>
          <cell r="O40"/>
          <cell r="P40"/>
          <cell r="Q40"/>
          <cell r="R40"/>
          <cell r="S40"/>
        </row>
        <row r="41">
          <cell r="G41">
            <v>0</v>
          </cell>
          <cell r="H41">
            <v>0</v>
          </cell>
          <cell r="I41"/>
          <cell r="J41"/>
          <cell r="K41"/>
          <cell r="L41"/>
          <cell r="M41"/>
          <cell r="N41"/>
          <cell r="O41"/>
          <cell r="P41"/>
          <cell r="Q41"/>
          <cell r="R41"/>
          <cell r="S41"/>
        </row>
        <row r="42">
          <cell r="G42">
            <v>0</v>
          </cell>
          <cell r="H42">
            <v>0</v>
          </cell>
          <cell r="I42"/>
          <cell r="J42"/>
          <cell r="K42"/>
          <cell r="L42"/>
          <cell r="M42"/>
          <cell r="N42"/>
          <cell r="O42"/>
          <cell r="P42"/>
          <cell r="Q42"/>
          <cell r="R42"/>
          <cell r="S42"/>
        </row>
        <row r="43">
          <cell r="G43">
            <v>0.5</v>
          </cell>
          <cell r="H43">
            <v>0.5</v>
          </cell>
          <cell r="I43"/>
          <cell r="J43"/>
          <cell r="K43"/>
          <cell r="L43"/>
          <cell r="M43"/>
          <cell r="N43"/>
          <cell r="O43"/>
          <cell r="P43"/>
          <cell r="Q43"/>
          <cell r="R43"/>
          <cell r="S43"/>
        </row>
        <row r="44">
          <cell r="G44">
            <v>0</v>
          </cell>
          <cell r="H44">
            <v>0</v>
          </cell>
          <cell r="I44"/>
          <cell r="J44"/>
          <cell r="K44"/>
          <cell r="L44"/>
          <cell r="M44"/>
          <cell r="N44"/>
          <cell r="O44"/>
          <cell r="P44"/>
          <cell r="Q44"/>
          <cell r="R44"/>
          <cell r="S44"/>
        </row>
        <row r="45">
          <cell r="G45">
            <v>0</v>
          </cell>
          <cell r="H45">
            <v>0</v>
          </cell>
          <cell r="I45"/>
          <cell r="J45"/>
          <cell r="K45"/>
          <cell r="L45"/>
          <cell r="M45"/>
          <cell r="N45"/>
          <cell r="O45"/>
          <cell r="P45"/>
          <cell r="Q45"/>
          <cell r="R45"/>
          <cell r="S45"/>
        </row>
        <row r="46">
          <cell r="G46">
            <v>12</v>
          </cell>
          <cell r="H46">
            <v>12</v>
          </cell>
          <cell r="I46"/>
          <cell r="J46"/>
          <cell r="K46"/>
          <cell r="L46"/>
          <cell r="M46"/>
          <cell r="N46"/>
          <cell r="O46"/>
          <cell r="P46"/>
          <cell r="Q46"/>
          <cell r="R46"/>
          <cell r="S46"/>
        </row>
        <row r="47">
          <cell r="G47">
            <v>0</v>
          </cell>
          <cell r="H47">
            <v>0</v>
          </cell>
          <cell r="I47"/>
          <cell r="J47"/>
          <cell r="K47"/>
          <cell r="L47"/>
          <cell r="M47"/>
          <cell r="N47"/>
          <cell r="O47"/>
          <cell r="P47"/>
          <cell r="Q47"/>
          <cell r="R47"/>
          <cell r="S47"/>
        </row>
        <row r="48">
          <cell r="G48">
            <v>0</v>
          </cell>
          <cell r="H48">
            <v>0</v>
          </cell>
          <cell r="I48"/>
          <cell r="J48"/>
          <cell r="K48"/>
          <cell r="L48"/>
          <cell r="M48"/>
          <cell r="N48"/>
          <cell r="O48"/>
          <cell r="P48"/>
          <cell r="Q48"/>
          <cell r="R48"/>
          <cell r="S48"/>
        </row>
        <row r="49">
          <cell r="G49">
            <v>0.5</v>
          </cell>
          <cell r="H49">
            <v>0.5</v>
          </cell>
          <cell r="I49"/>
          <cell r="J49"/>
          <cell r="K49"/>
          <cell r="L49"/>
          <cell r="M49"/>
          <cell r="N49"/>
          <cell r="O49"/>
          <cell r="P49"/>
          <cell r="Q49"/>
          <cell r="R49"/>
          <cell r="S49"/>
        </row>
        <row r="50">
          <cell r="G50">
            <v>0</v>
          </cell>
          <cell r="H50">
            <v>0</v>
          </cell>
          <cell r="I50"/>
          <cell r="J50"/>
          <cell r="K50"/>
          <cell r="L50"/>
          <cell r="M50"/>
          <cell r="N50"/>
          <cell r="O50"/>
          <cell r="P50"/>
          <cell r="Q50"/>
          <cell r="R50"/>
          <cell r="S50"/>
        </row>
        <row r="51">
          <cell r="G51">
            <v>0</v>
          </cell>
          <cell r="H51">
            <v>0</v>
          </cell>
          <cell r="I51"/>
          <cell r="J51"/>
          <cell r="K51"/>
          <cell r="L51"/>
          <cell r="M51"/>
          <cell r="N51"/>
          <cell r="O51"/>
          <cell r="P51"/>
          <cell r="Q51"/>
          <cell r="R51"/>
          <cell r="S51"/>
        </row>
        <row r="52">
          <cell r="G52">
            <v>12</v>
          </cell>
          <cell r="H52">
            <v>12</v>
          </cell>
          <cell r="I52"/>
          <cell r="J52"/>
          <cell r="K52"/>
          <cell r="L52"/>
          <cell r="M52"/>
          <cell r="N52"/>
          <cell r="O52"/>
          <cell r="P52"/>
          <cell r="Q52"/>
          <cell r="R52"/>
          <cell r="S52"/>
        </row>
        <row r="53">
          <cell r="G53">
            <v>0</v>
          </cell>
          <cell r="H53">
            <v>0</v>
          </cell>
          <cell r="I53"/>
          <cell r="J53"/>
          <cell r="K53"/>
          <cell r="L53"/>
          <cell r="M53"/>
          <cell r="N53"/>
          <cell r="O53"/>
          <cell r="P53"/>
          <cell r="Q53"/>
          <cell r="R53"/>
          <cell r="S53"/>
        </row>
        <row r="54">
          <cell r="G54">
            <v>0</v>
          </cell>
          <cell r="H54">
            <v>0</v>
          </cell>
          <cell r="I54"/>
          <cell r="J54"/>
          <cell r="K54"/>
          <cell r="L54"/>
          <cell r="M54"/>
          <cell r="N54"/>
          <cell r="O54"/>
          <cell r="P54"/>
          <cell r="Q54"/>
          <cell r="R54"/>
          <cell r="S54"/>
        </row>
        <row r="55">
          <cell r="G55">
            <v>0.5</v>
          </cell>
          <cell r="H55">
            <v>0.5</v>
          </cell>
          <cell r="I55"/>
          <cell r="J55"/>
          <cell r="K55"/>
          <cell r="L55"/>
          <cell r="M55"/>
          <cell r="N55"/>
          <cell r="O55"/>
          <cell r="P55"/>
          <cell r="Q55"/>
          <cell r="R55"/>
          <cell r="S55"/>
        </row>
        <row r="56">
          <cell r="G56">
            <v>0</v>
          </cell>
          <cell r="H56">
            <v>0</v>
          </cell>
          <cell r="I56"/>
          <cell r="J56"/>
          <cell r="K56"/>
          <cell r="L56"/>
          <cell r="M56"/>
          <cell r="N56"/>
          <cell r="O56"/>
          <cell r="P56"/>
          <cell r="Q56"/>
          <cell r="R56"/>
          <cell r="S56"/>
        </row>
        <row r="57">
          <cell r="G57">
            <v>0</v>
          </cell>
          <cell r="H57">
            <v>0</v>
          </cell>
          <cell r="I57"/>
          <cell r="J57"/>
          <cell r="K57"/>
          <cell r="L57"/>
          <cell r="M57"/>
          <cell r="N57"/>
          <cell r="O57"/>
          <cell r="P57"/>
          <cell r="Q57"/>
          <cell r="R57"/>
          <cell r="S57"/>
        </row>
        <row r="58">
          <cell r="G58">
            <v>12</v>
          </cell>
          <cell r="H58">
            <v>12</v>
          </cell>
          <cell r="I58"/>
          <cell r="J58"/>
          <cell r="K58"/>
          <cell r="L58"/>
          <cell r="M58"/>
          <cell r="N58"/>
          <cell r="O58"/>
          <cell r="P58"/>
          <cell r="Q58"/>
          <cell r="R58"/>
          <cell r="S58"/>
        </row>
        <row r="59">
          <cell r="G59">
            <v>0</v>
          </cell>
          <cell r="H59">
            <v>0</v>
          </cell>
          <cell r="I59"/>
          <cell r="J59"/>
          <cell r="K59"/>
          <cell r="L59"/>
          <cell r="M59"/>
          <cell r="N59"/>
          <cell r="O59"/>
          <cell r="P59"/>
          <cell r="Q59"/>
          <cell r="R59"/>
          <cell r="S59"/>
        </row>
        <row r="60">
          <cell r="G60">
            <v>0</v>
          </cell>
          <cell r="H60">
            <v>0</v>
          </cell>
          <cell r="I60"/>
          <cell r="J60"/>
          <cell r="K60"/>
          <cell r="L60"/>
          <cell r="M60"/>
          <cell r="N60"/>
          <cell r="O60"/>
          <cell r="P60"/>
          <cell r="Q60"/>
          <cell r="R60"/>
          <cell r="S60"/>
        </row>
        <row r="61">
          <cell r="G61">
            <v>0.5</v>
          </cell>
          <cell r="H61">
            <v>0.5</v>
          </cell>
          <cell r="I61"/>
          <cell r="J61"/>
          <cell r="K61"/>
          <cell r="L61"/>
          <cell r="M61"/>
          <cell r="N61"/>
          <cell r="O61"/>
          <cell r="P61"/>
          <cell r="Q61"/>
          <cell r="R61"/>
          <cell r="S61"/>
        </row>
        <row r="62">
          <cell r="G62">
            <v>0</v>
          </cell>
          <cell r="H62">
            <v>5</v>
          </cell>
          <cell r="I62"/>
          <cell r="J62"/>
          <cell r="K62"/>
          <cell r="L62"/>
          <cell r="M62"/>
          <cell r="N62"/>
          <cell r="O62"/>
          <cell r="P62"/>
          <cell r="Q62"/>
          <cell r="R62"/>
          <cell r="S62"/>
        </row>
        <row r="63">
          <cell r="G63">
            <v>0</v>
          </cell>
          <cell r="H63">
            <v>3</v>
          </cell>
          <cell r="I63"/>
          <cell r="J63"/>
          <cell r="K63"/>
          <cell r="L63"/>
          <cell r="M63"/>
          <cell r="N63"/>
          <cell r="O63"/>
          <cell r="P63"/>
          <cell r="Q63"/>
          <cell r="R63"/>
          <cell r="S63"/>
        </row>
        <row r="64">
          <cell r="G64">
            <v>12</v>
          </cell>
          <cell r="H64">
            <v>12</v>
          </cell>
          <cell r="I64"/>
          <cell r="J64"/>
          <cell r="K64"/>
          <cell r="L64"/>
          <cell r="M64"/>
          <cell r="N64"/>
          <cell r="O64"/>
          <cell r="P64"/>
          <cell r="Q64"/>
          <cell r="R64"/>
          <cell r="S64"/>
        </row>
        <row r="65">
          <cell r="G65">
            <v>0</v>
          </cell>
          <cell r="H65">
            <v>0.65</v>
          </cell>
          <cell r="I65"/>
          <cell r="J65"/>
          <cell r="K65"/>
          <cell r="L65"/>
          <cell r="M65"/>
          <cell r="N65"/>
          <cell r="O65"/>
          <cell r="P65"/>
          <cell r="Q65"/>
          <cell r="R65"/>
          <cell r="S65"/>
        </row>
        <row r="66">
          <cell r="G66">
            <v>0</v>
          </cell>
          <cell r="H66">
            <v>0.32</v>
          </cell>
          <cell r="I66"/>
          <cell r="J66"/>
          <cell r="K66"/>
          <cell r="L66"/>
          <cell r="M66"/>
          <cell r="N66"/>
          <cell r="O66"/>
          <cell r="P66"/>
          <cell r="Q66"/>
          <cell r="R66"/>
          <cell r="S66"/>
        </row>
        <row r="67">
          <cell r="G67">
            <v>0.5</v>
          </cell>
          <cell r="H67">
            <v>0.5</v>
          </cell>
          <cell r="I67"/>
          <cell r="J67"/>
          <cell r="K67"/>
          <cell r="L67"/>
          <cell r="M67"/>
          <cell r="N67"/>
          <cell r="O67"/>
          <cell r="P67"/>
          <cell r="Q67"/>
          <cell r="R67"/>
          <cell r="S67"/>
        </row>
        <row r="70">
          <cell r="G70">
            <v>24</v>
          </cell>
          <cell r="H70">
            <v>0</v>
          </cell>
          <cell r="I70"/>
          <cell r="J70"/>
          <cell r="K70"/>
          <cell r="L70"/>
          <cell r="M70"/>
          <cell r="N70"/>
          <cell r="O70"/>
          <cell r="P70"/>
          <cell r="Q70"/>
          <cell r="R70"/>
          <cell r="S70"/>
        </row>
        <row r="71">
          <cell r="G71">
            <v>24</v>
          </cell>
          <cell r="H71">
            <v>15</v>
          </cell>
          <cell r="I71"/>
          <cell r="J71"/>
          <cell r="K71"/>
          <cell r="L71"/>
          <cell r="M71"/>
          <cell r="N71"/>
          <cell r="O71"/>
          <cell r="P71"/>
          <cell r="Q71"/>
          <cell r="R71"/>
          <cell r="S71"/>
        </row>
        <row r="72">
          <cell r="G72">
            <v>19</v>
          </cell>
          <cell r="H72">
            <v>19</v>
          </cell>
          <cell r="I72"/>
          <cell r="J72"/>
          <cell r="K72"/>
          <cell r="L72"/>
          <cell r="M72"/>
          <cell r="N72"/>
          <cell r="O72"/>
          <cell r="P72"/>
          <cell r="Q72"/>
          <cell r="R72"/>
          <cell r="S72"/>
        </row>
        <row r="73">
          <cell r="G73">
            <v>2.99</v>
          </cell>
          <cell r="H73">
            <v>0</v>
          </cell>
          <cell r="I73"/>
          <cell r="J73"/>
          <cell r="K73"/>
          <cell r="L73"/>
          <cell r="M73"/>
          <cell r="N73"/>
          <cell r="O73"/>
          <cell r="P73"/>
          <cell r="Q73"/>
          <cell r="R73"/>
          <cell r="S73"/>
        </row>
        <row r="74">
          <cell r="G74">
            <v>2.99</v>
          </cell>
          <cell r="H74">
            <v>1.82</v>
          </cell>
          <cell r="I74"/>
          <cell r="J74"/>
          <cell r="K74"/>
          <cell r="L74"/>
          <cell r="M74"/>
          <cell r="N74"/>
          <cell r="O74"/>
          <cell r="P74"/>
          <cell r="Q74"/>
          <cell r="R74"/>
          <cell r="S74"/>
        </row>
        <row r="75">
          <cell r="G75">
            <v>1.1299999999999999</v>
          </cell>
          <cell r="H75">
            <v>1.1299999999999999</v>
          </cell>
          <cell r="I75"/>
          <cell r="J75"/>
          <cell r="K75"/>
          <cell r="L75"/>
          <cell r="M75"/>
          <cell r="N75"/>
          <cell r="O75"/>
          <cell r="P75"/>
          <cell r="Q75"/>
          <cell r="R75"/>
          <cell r="S75"/>
        </row>
        <row r="76">
          <cell r="G76">
            <v>7</v>
          </cell>
          <cell r="H76">
            <v>0</v>
          </cell>
          <cell r="I76"/>
          <cell r="J76"/>
          <cell r="K76"/>
          <cell r="L76"/>
          <cell r="M76"/>
          <cell r="N76"/>
          <cell r="O76"/>
          <cell r="P76"/>
          <cell r="Q76"/>
          <cell r="R76"/>
          <cell r="S76"/>
        </row>
        <row r="77">
          <cell r="G77">
            <v>7</v>
          </cell>
          <cell r="H77">
            <v>3</v>
          </cell>
          <cell r="I77"/>
          <cell r="J77"/>
          <cell r="K77"/>
          <cell r="L77"/>
          <cell r="M77"/>
          <cell r="N77"/>
          <cell r="O77"/>
          <cell r="P77"/>
          <cell r="Q77"/>
          <cell r="R77"/>
          <cell r="S77"/>
        </row>
        <row r="78">
          <cell r="G78">
            <v>19</v>
          </cell>
          <cell r="H78">
            <v>19</v>
          </cell>
          <cell r="I78"/>
          <cell r="J78"/>
          <cell r="K78"/>
          <cell r="L78"/>
          <cell r="M78"/>
          <cell r="N78"/>
          <cell r="O78"/>
          <cell r="P78"/>
          <cell r="Q78"/>
          <cell r="R78"/>
          <cell r="S78"/>
        </row>
        <row r="79">
          <cell r="G79">
            <v>2.2999999999999998</v>
          </cell>
          <cell r="H79">
            <v>0</v>
          </cell>
          <cell r="I79"/>
          <cell r="J79"/>
          <cell r="K79"/>
          <cell r="L79"/>
          <cell r="M79"/>
          <cell r="N79"/>
          <cell r="O79"/>
          <cell r="P79"/>
          <cell r="Q79"/>
          <cell r="R79"/>
          <cell r="S79"/>
        </row>
        <row r="80">
          <cell r="G80">
            <v>2.2999999999999998</v>
          </cell>
          <cell r="H80">
            <v>0.86</v>
          </cell>
          <cell r="I80"/>
          <cell r="J80"/>
          <cell r="K80"/>
          <cell r="L80"/>
          <cell r="M80"/>
          <cell r="N80"/>
          <cell r="O80"/>
          <cell r="P80"/>
          <cell r="Q80"/>
          <cell r="R80"/>
          <cell r="S80"/>
        </row>
        <row r="81">
          <cell r="G81">
            <v>1.1299999999999999</v>
          </cell>
          <cell r="H81">
            <v>1.1299999999999999</v>
          </cell>
          <cell r="I81"/>
          <cell r="J81"/>
          <cell r="K81"/>
          <cell r="L81"/>
          <cell r="M81"/>
          <cell r="N81"/>
          <cell r="O81"/>
          <cell r="P81"/>
          <cell r="Q81"/>
          <cell r="R81"/>
          <cell r="S81"/>
        </row>
        <row r="82">
          <cell r="G82">
            <v>6</v>
          </cell>
          <cell r="H82">
            <v>0</v>
          </cell>
          <cell r="I82"/>
          <cell r="J82"/>
          <cell r="K82"/>
          <cell r="L82"/>
          <cell r="M82"/>
          <cell r="N82"/>
          <cell r="O82"/>
          <cell r="P82"/>
          <cell r="Q82"/>
          <cell r="R82"/>
          <cell r="S82"/>
        </row>
        <row r="83">
          <cell r="G83">
            <v>6</v>
          </cell>
          <cell r="H83">
            <v>3</v>
          </cell>
          <cell r="I83"/>
          <cell r="J83"/>
          <cell r="K83"/>
          <cell r="L83"/>
          <cell r="M83"/>
          <cell r="N83"/>
          <cell r="O83"/>
          <cell r="P83"/>
          <cell r="Q83"/>
          <cell r="R83"/>
          <cell r="S83"/>
        </row>
        <row r="84">
          <cell r="G84">
            <v>19</v>
          </cell>
          <cell r="H84">
            <v>19</v>
          </cell>
          <cell r="I84"/>
          <cell r="J84"/>
          <cell r="K84"/>
          <cell r="L84"/>
          <cell r="M84"/>
          <cell r="N84"/>
          <cell r="O84"/>
          <cell r="P84"/>
          <cell r="Q84"/>
          <cell r="R84"/>
          <cell r="S84"/>
        </row>
        <row r="85">
          <cell r="G85">
            <v>1.29</v>
          </cell>
          <cell r="H85">
            <v>0</v>
          </cell>
          <cell r="I85"/>
          <cell r="J85"/>
          <cell r="K85"/>
          <cell r="L85"/>
          <cell r="M85"/>
          <cell r="N85"/>
          <cell r="O85"/>
          <cell r="P85"/>
          <cell r="Q85"/>
          <cell r="R85"/>
          <cell r="S85"/>
        </row>
        <row r="86">
          <cell r="G86">
            <v>1.29</v>
          </cell>
          <cell r="H86">
            <v>0.65</v>
          </cell>
          <cell r="I86"/>
          <cell r="J86"/>
          <cell r="K86"/>
          <cell r="L86"/>
          <cell r="M86"/>
          <cell r="N86"/>
          <cell r="O86"/>
          <cell r="P86"/>
          <cell r="Q86"/>
          <cell r="R86"/>
          <cell r="S86"/>
        </row>
        <row r="87">
          <cell r="G87">
            <v>1.1299999999999999</v>
          </cell>
          <cell r="H87">
            <v>1.1299999999999999</v>
          </cell>
          <cell r="I87"/>
          <cell r="J87"/>
          <cell r="K87"/>
          <cell r="L87"/>
          <cell r="M87"/>
          <cell r="N87"/>
          <cell r="O87"/>
          <cell r="P87"/>
          <cell r="Q87"/>
          <cell r="R87"/>
          <cell r="S87"/>
        </row>
        <row r="88">
          <cell r="G88">
            <v>15</v>
          </cell>
          <cell r="H88">
            <v>0</v>
          </cell>
          <cell r="I88"/>
          <cell r="J88"/>
          <cell r="K88"/>
          <cell r="L88"/>
          <cell r="M88"/>
          <cell r="N88"/>
          <cell r="O88"/>
          <cell r="P88"/>
          <cell r="Q88"/>
          <cell r="R88"/>
          <cell r="S88"/>
        </row>
        <row r="89">
          <cell r="G89">
            <v>15</v>
          </cell>
          <cell r="H89">
            <v>8</v>
          </cell>
          <cell r="I89"/>
          <cell r="J89"/>
          <cell r="K89"/>
          <cell r="L89"/>
          <cell r="M89"/>
          <cell r="N89"/>
          <cell r="O89"/>
          <cell r="P89"/>
          <cell r="Q89"/>
          <cell r="R89"/>
          <cell r="S89"/>
        </row>
        <row r="90">
          <cell r="G90">
            <v>19</v>
          </cell>
          <cell r="H90">
            <v>19</v>
          </cell>
          <cell r="I90"/>
          <cell r="J90"/>
          <cell r="K90"/>
          <cell r="L90"/>
          <cell r="M90"/>
          <cell r="N90"/>
          <cell r="O90"/>
          <cell r="P90"/>
          <cell r="Q90"/>
          <cell r="R90"/>
          <cell r="S90"/>
        </row>
        <row r="91">
          <cell r="G91">
            <v>1.93</v>
          </cell>
          <cell r="H91">
            <v>0</v>
          </cell>
          <cell r="I91"/>
          <cell r="J91"/>
          <cell r="K91"/>
          <cell r="L91"/>
          <cell r="M91"/>
          <cell r="N91"/>
          <cell r="O91"/>
          <cell r="P91"/>
          <cell r="Q91"/>
          <cell r="R91"/>
          <cell r="S91"/>
        </row>
        <row r="92">
          <cell r="G92">
            <v>1.93</v>
          </cell>
          <cell r="H92">
            <v>0.98</v>
          </cell>
          <cell r="I92"/>
          <cell r="J92"/>
          <cell r="K92"/>
          <cell r="L92"/>
          <cell r="M92"/>
          <cell r="N92"/>
          <cell r="O92"/>
          <cell r="P92"/>
          <cell r="Q92"/>
          <cell r="R92"/>
          <cell r="S92"/>
        </row>
        <row r="93">
          <cell r="G93">
            <v>1.1299999999999999</v>
          </cell>
          <cell r="H93">
            <v>1.1299999999999999</v>
          </cell>
          <cell r="I93"/>
          <cell r="J93"/>
          <cell r="K93"/>
          <cell r="L93"/>
          <cell r="M93"/>
          <cell r="N93"/>
          <cell r="O93"/>
          <cell r="P93"/>
          <cell r="Q93"/>
          <cell r="R93"/>
          <cell r="S93"/>
        </row>
        <row r="94">
          <cell r="G94">
            <v>0</v>
          </cell>
          <cell r="H94">
            <v>0</v>
          </cell>
          <cell r="I94"/>
          <cell r="J94"/>
          <cell r="K94"/>
          <cell r="L94"/>
          <cell r="M94"/>
          <cell r="N94"/>
          <cell r="O94"/>
          <cell r="P94"/>
          <cell r="Q94"/>
          <cell r="R94"/>
          <cell r="S94"/>
        </row>
        <row r="95">
          <cell r="G95">
            <v>0</v>
          </cell>
          <cell r="H95">
            <v>0</v>
          </cell>
          <cell r="I95"/>
          <cell r="J95"/>
          <cell r="K95"/>
          <cell r="L95"/>
          <cell r="M95"/>
          <cell r="N95"/>
          <cell r="O95"/>
          <cell r="P95"/>
          <cell r="Q95"/>
          <cell r="R95"/>
          <cell r="S95"/>
        </row>
        <row r="96">
          <cell r="G96">
            <v>19</v>
          </cell>
          <cell r="H96">
            <v>19</v>
          </cell>
          <cell r="I96"/>
          <cell r="J96"/>
          <cell r="K96"/>
          <cell r="L96"/>
          <cell r="M96"/>
          <cell r="N96"/>
          <cell r="O96"/>
          <cell r="P96"/>
          <cell r="Q96"/>
          <cell r="R96"/>
          <cell r="S96"/>
        </row>
        <row r="97">
          <cell r="G97">
            <v>0</v>
          </cell>
          <cell r="H97">
            <v>0</v>
          </cell>
          <cell r="I97"/>
          <cell r="J97"/>
          <cell r="K97"/>
          <cell r="L97"/>
          <cell r="M97"/>
          <cell r="N97"/>
          <cell r="O97"/>
          <cell r="P97"/>
          <cell r="Q97"/>
          <cell r="R97"/>
          <cell r="S97"/>
        </row>
        <row r="98">
          <cell r="G98">
            <v>0</v>
          </cell>
          <cell r="H98">
            <v>0</v>
          </cell>
          <cell r="I98"/>
          <cell r="J98"/>
          <cell r="K98"/>
          <cell r="L98"/>
          <cell r="M98"/>
          <cell r="N98"/>
          <cell r="O98"/>
          <cell r="P98"/>
          <cell r="Q98"/>
          <cell r="R98"/>
          <cell r="S98"/>
        </row>
        <row r="99">
          <cell r="G99">
            <v>1.1299999999999999</v>
          </cell>
          <cell r="H99">
            <v>1.1299999999999999</v>
          </cell>
          <cell r="I99"/>
          <cell r="J99"/>
          <cell r="K99"/>
          <cell r="L99"/>
          <cell r="M99"/>
          <cell r="N99"/>
          <cell r="O99"/>
          <cell r="P99"/>
          <cell r="Q99"/>
          <cell r="R99"/>
          <cell r="S99"/>
        </row>
        <row r="100">
          <cell r="G100">
            <v>0</v>
          </cell>
          <cell r="H100">
            <v>0</v>
          </cell>
          <cell r="I100"/>
          <cell r="J100"/>
          <cell r="K100"/>
          <cell r="L100"/>
          <cell r="M100"/>
          <cell r="N100"/>
          <cell r="O100"/>
          <cell r="P100"/>
          <cell r="Q100"/>
          <cell r="R100"/>
          <cell r="S100"/>
        </row>
        <row r="101">
          <cell r="G101">
            <v>0</v>
          </cell>
          <cell r="H101">
            <v>0</v>
          </cell>
          <cell r="I101"/>
          <cell r="J101"/>
          <cell r="K101"/>
          <cell r="L101"/>
          <cell r="M101"/>
          <cell r="N101"/>
          <cell r="O101"/>
          <cell r="P101"/>
          <cell r="Q101"/>
          <cell r="R101"/>
          <cell r="S101"/>
        </row>
        <row r="102">
          <cell r="G102">
            <v>19</v>
          </cell>
          <cell r="H102">
            <v>19</v>
          </cell>
          <cell r="I102"/>
          <cell r="J102"/>
          <cell r="K102"/>
          <cell r="L102"/>
          <cell r="M102"/>
          <cell r="N102"/>
          <cell r="O102"/>
          <cell r="P102"/>
          <cell r="Q102"/>
          <cell r="R102"/>
          <cell r="S102"/>
        </row>
        <row r="103">
          <cell r="G103">
            <v>0</v>
          </cell>
          <cell r="H103">
            <v>0</v>
          </cell>
          <cell r="I103"/>
          <cell r="J103"/>
          <cell r="K103"/>
          <cell r="L103"/>
          <cell r="M103"/>
          <cell r="N103"/>
          <cell r="O103"/>
          <cell r="P103"/>
          <cell r="Q103"/>
          <cell r="R103"/>
          <cell r="S103"/>
        </row>
        <row r="104">
          <cell r="G104">
            <v>0</v>
          </cell>
          <cell r="H104">
            <v>0</v>
          </cell>
          <cell r="I104"/>
          <cell r="J104"/>
          <cell r="K104"/>
          <cell r="L104"/>
          <cell r="M104"/>
          <cell r="N104"/>
          <cell r="O104"/>
          <cell r="P104"/>
          <cell r="Q104"/>
          <cell r="R104"/>
          <cell r="S104"/>
        </row>
        <row r="105">
          <cell r="G105">
            <v>1.1299999999999999</v>
          </cell>
          <cell r="H105">
            <v>1.1299999999999999</v>
          </cell>
          <cell r="I105"/>
          <cell r="J105"/>
          <cell r="K105"/>
          <cell r="L105"/>
          <cell r="M105"/>
          <cell r="N105"/>
          <cell r="O105"/>
          <cell r="P105"/>
          <cell r="Q105"/>
          <cell r="R105"/>
          <cell r="S105"/>
        </row>
        <row r="106">
          <cell r="G106">
            <v>0</v>
          </cell>
          <cell r="H106">
            <v>0</v>
          </cell>
          <cell r="I106"/>
          <cell r="J106"/>
          <cell r="K106"/>
          <cell r="L106"/>
          <cell r="M106"/>
          <cell r="N106"/>
          <cell r="O106"/>
          <cell r="P106"/>
          <cell r="Q106"/>
          <cell r="R106"/>
          <cell r="S106"/>
        </row>
        <row r="107">
          <cell r="G107">
            <v>0</v>
          </cell>
          <cell r="H107">
            <v>0</v>
          </cell>
          <cell r="I107"/>
          <cell r="J107"/>
          <cell r="K107"/>
          <cell r="L107"/>
          <cell r="M107"/>
          <cell r="N107"/>
          <cell r="O107"/>
          <cell r="P107"/>
          <cell r="Q107"/>
          <cell r="R107"/>
          <cell r="S107"/>
        </row>
        <row r="108">
          <cell r="G108">
            <v>19</v>
          </cell>
          <cell r="H108">
            <v>19</v>
          </cell>
          <cell r="I108"/>
          <cell r="J108"/>
          <cell r="K108"/>
          <cell r="L108"/>
          <cell r="M108"/>
          <cell r="N108"/>
          <cell r="O108"/>
          <cell r="P108"/>
          <cell r="Q108"/>
          <cell r="R108"/>
          <cell r="S108"/>
        </row>
        <row r="109">
          <cell r="G109">
            <v>0</v>
          </cell>
          <cell r="H109">
            <v>0</v>
          </cell>
          <cell r="I109"/>
          <cell r="J109"/>
          <cell r="K109"/>
          <cell r="L109"/>
          <cell r="M109"/>
          <cell r="N109"/>
          <cell r="O109"/>
          <cell r="P109"/>
          <cell r="Q109"/>
          <cell r="R109"/>
          <cell r="S109"/>
        </row>
        <row r="110">
          <cell r="G110">
            <v>0</v>
          </cell>
          <cell r="H110">
            <v>0</v>
          </cell>
          <cell r="I110"/>
          <cell r="J110"/>
          <cell r="K110"/>
          <cell r="L110"/>
          <cell r="M110"/>
          <cell r="N110"/>
          <cell r="O110"/>
          <cell r="P110"/>
          <cell r="Q110"/>
          <cell r="R110"/>
          <cell r="S110"/>
        </row>
        <row r="111">
          <cell r="G111">
            <v>1.1299999999999999</v>
          </cell>
          <cell r="H111">
            <v>1.1299999999999999</v>
          </cell>
          <cell r="I111"/>
          <cell r="J111"/>
          <cell r="K111"/>
          <cell r="L111"/>
          <cell r="M111"/>
          <cell r="N111"/>
          <cell r="O111"/>
          <cell r="P111"/>
          <cell r="Q111"/>
          <cell r="R111"/>
          <cell r="S111"/>
        </row>
        <row r="112">
          <cell r="G112">
            <v>0</v>
          </cell>
          <cell r="H112">
            <v>0</v>
          </cell>
          <cell r="I112"/>
          <cell r="J112"/>
          <cell r="K112"/>
          <cell r="L112"/>
          <cell r="M112"/>
          <cell r="N112"/>
          <cell r="O112"/>
          <cell r="P112"/>
          <cell r="Q112"/>
          <cell r="R112"/>
          <cell r="S112"/>
        </row>
        <row r="113">
          <cell r="G113">
            <v>0</v>
          </cell>
          <cell r="H113">
            <v>0</v>
          </cell>
          <cell r="I113"/>
          <cell r="J113"/>
          <cell r="K113"/>
          <cell r="L113"/>
          <cell r="M113"/>
          <cell r="N113"/>
          <cell r="O113"/>
          <cell r="P113"/>
          <cell r="Q113"/>
          <cell r="R113"/>
          <cell r="S113"/>
        </row>
        <row r="114">
          <cell r="G114">
            <v>19</v>
          </cell>
          <cell r="H114">
            <v>19</v>
          </cell>
          <cell r="I114"/>
          <cell r="J114"/>
          <cell r="K114"/>
          <cell r="L114"/>
          <cell r="M114"/>
          <cell r="N114"/>
          <cell r="O114"/>
          <cell r="P114"/>
          <cell r="Q114"/>
          <cell r="R114"/>
          <cell r="S114"/>
        </row>
        <row r="115">
          <cell r="G115">
            <v>0</v>
          </cell>
          <cell r="H115">
            <v>0</v>
          </cell>
          <cell r="I115"/>
          <cell r="J115"/>
          <cell r="K115"/>
          <cell r="L115"/>
          <cell r="M115"/>
          <cell r="N115"/>
          <cell r="O115"/>
          <cell r="P115"/>
          <cell r="Q115"/>
          <cell r="R115"/>
          <cell r="S115"/>
        </row>
        <row r="116">
          <cell r="G116">
            <v>0</v>
          </cell>
          <cell r="H116">
            <v>0</v>
          </cell>
          <cell r="I116"/>
          <cell r="J116"/>
          <cell r="K116"/>
          <cell r="L116"/>
          <cell r="M116"/>
          <cell r="N116"/>
          <cell r="O116"/>
          <cell r="P116"/>
          <cell r="Q116"/>
          <cell r="R116"/>
          <cell r="S116"/>
        </row>
        <row r="117">
          <cell r="G117">
            <v>1.1299999999999999</v>
          </cell>
          <cell r="H117">
            <v>1.1299999999999999</v>
          </cell>
          <cell r="I117"/>
          <cell r="J117"/>
          <cell r="K117"/>
          <cell r="L117"/>
          <cell r="M117"/>
          <cell r="N117"/>
          <cell r="O117"/>
          <cell r="P117"/>
          <cell r="Q117"/>
          <cell r="R117"/>
          <cell r="S117"/>
        </row>
        <row r="118">
          <cell r="G118">
            <v>0</v>
          </cell>
          <cell r="H118">
            <v>0</v>
          </cell>
          <cell r="I118"/>
          <cell r="J118"/>
          <cell r="K118"/>
          <cell r="L118"/>
          <cell r="M118"/>
          <cell r="N118"/>
          <cell r="O118"/>
          <cell r="P118"/>
          <cell r="Q118"/>
          <cell r="R118"/>
          <cell r="S118"/>
        </row>
        <row r="119">
          <cell r="G119">
            <v>0</v>
          </cell>
          <cell r="H119">
            <v>0</v>
          </cell>
          <cell r="I119"/>
          <cell r="J119"/>
          <cell r="K119"/>
          <cell r="L119"/>
          <cell r="M119"/>
          <cell r="N119"/>
          <cell r="O119"/>
          <cell r="P119"/>
          <cell r="Q119"/>
          <cell r="R119"/>
          <cell r="S119"/>
        </row>
        <row r="120">
          <cell r="G120">
            <v>19</v>
          </cell>
          <cell r="H120">
            <v>19</v>
          </cell>
          <cell r="I120"/>
          <cell r="J120"/>
          <cell r="K120"/>
          <cell r="L120"/>
          <cell r="M120"/>
          <cell r="N120"/>
          <cell r="O120"/>
          <cell r="P120"/>
          <cell r="Q120"/>
          <cell r="R120"/>
          <cell r="S120"/>
        </row>
        <row r="121">
          <cell r="G121">
            <v>0</v>
          </cell>
          <cell r="H121">
            <v>0</v>
          </cell>
          <cell r="I121"/>
          <cell r="J121"/>
          <cell r="K121"/>
          <cell r="L121"/>
          <cell r="M121"/>
          <cell r="N121"/>
          <cell r="O121"/>
          <cell r="P121"/>
          <cell r="Q121"/>
          <cell r="R121"/>
          <cell r="S121"/>
        </row>
        <row r="122">
          <cell r="G122">
            <v>0</v>
          </cell>
          <cell r="H122">
            <v>0</v>
          </cell>
          <cell r="I122"/>
          <cell r="J122"/>
          <cell r="K122"/>
          <cell r="L122"/>
          <cell r="M122"/>
          <cell r="N122"/>
          <cell r="O122"/>
          <cell r="P122"/>
          <cell r="Q122"/>
          <cell r="R122"/>
          <cell r="S122"/>
        </row>
        <row r="123">
          <cell r="G123">
            <v>1.1299999999999999</v>
          </cell>
          <cell r="H123">
            <v>1.1299999999999999</v>
          </cell>
          <cell r="I123"/>
          <cell r="J123"/>
          <cell r="K123"/>
          <cell r="L123"/>
          <cell r="M123"/>
          <cell r="N123"/>
          <cell r="O123"/>
          <cell r="P123"/>
          <cell r="Q123"/>
          <cell r="R123"/>
          <cell r="S123"/>
        </row>
        <row r="124">
          <cell r="G124">
            <v>0</v>
          </cell>
          <cell r="H124">
            <v>0</v>
          </cell>
          <cell r="I124"/>
          <cell r="J124"/>
          <cell r="K124"/>
          <cell r="L124"/>
          <cell r="M124"/>
          <cell r="N124"/>
          <cell r="O124"/>
          <cell r="P124"/>
          <cell r="Q124"/>
          <cell r="R124"/>
          <cell r="S124"/>
        </row>
        <row r="125">
          <cell r="G125">
            <v>0</v>
          </cell>
          <cell r="H125">
            <v>0</v>
          </cell>
          <cell r="I125"/>
          <cell r="J125"/>
          <cell r="K125"/>
          <cell r="L125"/>
          <cell r="M125"/>
          <cell r="N125"/>
          <cell r="O125"/>
          <cell r="P125"/>
          <cell r="Q125"/>
          <cell r="R125"/>
          <cell r="S125"/>
        </row>
        <row r="126">
          <cell r="G126">
            <v>19</v>
          </cell>
          <cell r="H126">
            <v>19</v>
          </cell>
          <cell r="I126"/>
          <cell r="J126"/>
          <cell r="K126"/>
          <cell r="L126"/>
          <cell r="M126"/>
          <cell r="N126"/>
          <cell r="O126"/>
          <cell r="P126"/>
          <cell r="Q126"/>
          <cell r="R126"/>
          <cell r="S126"/>
        </row>
        <row r="127">
          <cell r="G127">
            <v>0</v>
          </cell>
          <cell r="H127">
            <v>0</v>
          </cell>
          <cell r="I127"/>
          <cell r="J127"/>
          <cell r="K127"/>
          <cell r="L127"/>
          <cell r="M127"/>
          <cell r="N127"/>
          <cell r="O127"/>
          <cell r="P127"/>
          <cell r="Q127"/>
          <cell r="R127"/>
          <cell r="S127"/>
        </row>
        <row r="128">
          <cell r="G128">
            <v>0</v>
          </cell>
          <cell r="H128">
            <v>0</v>
          </cell>
          <cell r="I128"/>
          <cell r="J128"/>
          <cell r="K128"/>
          <cell r="L128"/>
          <cell r="M128"/>
          <cell r="N128"/>
          <cell r="O128"/>
          <cell r="P128"/>
          <cell r="Q128"/>
          <cell r="R128"/>
          <cell r="S128"/>
        </row>
        <row r="129">
          <cell r="G129">
            <v>1.1299999999999999</v>
          </cell>
          <cell r="H129">
            <v>1.1299999999999999</v>
          </cell>
          <cell r="I129"/>
          <cell r="J129"/>
          <cell r="K129"/>
          <cell r="L129"/>
          <cell r="M129"/>
          <cell r="N129"/>
          <cell r="O129"/>
          <cell r="P129"/>
          <cell r="Q129"/>
          <cell r="R129"/>
          <cell r="S129"/>
        </row>
        <row r="130">
          <cell r="G130">
            <v>7</v>
          </cell>
          <cell r="H130">
            <v>0</v>
          </cell>
          <cell r="I130"/>
          <cell r="J130"/>
          <cell r="K130"/>
          <cell r="L130"/>
          <cell r="M130"/>
          <cell r="N130"/>
          <cell r="O130"/>
          <cell r="P130"/>
          <cell r="Q130"/>
          <cell r="R130"/>
          <cell r="S130"/>
        </row>
        <row r="131">
          <cell r="G131">
            <v>7</v>
          </cell>
          <cell r="H131">
            <v>4</v>
          </cell>
          <cell r="I131"/>
          <cell r="J131"/>
          <cell r="K131"/>
          <cell r="L131"/>
          <cell r="M131"/>
          <cell r="N131"/>
          <cell r="O131"/>
          <cell r="P131"/>
          <cell r="Q131"/>
          <cell r="R131"/>
          <cell r="S131"/>
        </row>
        <row r="132">
          <cell r="G132">
            <v>19</v>
          </cell>
          <cell r="H132">
            <v>19</v>
          </cell>
          <cell r="I132"/>
          <cell r="J132"/>
          <cell r="K132"/>
          <cell r="L132"/>
          <cell r="M132"/>
          <cell r="N132"/>
          <cell r="O132"/>
          <cell r="P132"/>
          <cell r="Q132"/>
          <cell r="R132"/>
          <cell r="S132"/>
        </row>
        <row r="133">
          <cell r="G133">
            <v>1.17</v>
          </cell>
          <cell r="H133">
            <v>0</v>
          </cell>
          <cell r="I133"/>
          <cell r="J133"/>
          <cell r="K133"/>
          <cell r="L133"/>
          <cell r="M133"/>
          <cell r="N133"/>
          <cell r="O133"/>
          <cell r="P133"/>
          <cell r="Q133"/>
          <cell r="R133"/>
          <cell r="S133"/>
        </row>
        <row r="134">
          <cell r="G134">
            <v>1.17</v>
          </cell>
          <cell r="H134">
            <v>0.56999999999999995</v>
          </cell>
          <cell r="I134"/>
          <cell r="J134"/>
          <cell r="K134"/>
          <cell r="L134"/>
          <cell r="M134"/>
          <cell r="N134"/>
          <cell r="O134"/>
          <cell r="P134"/>
          <cell r="Q134"/>
          <cell r="R134"/>
          <cell r="S134"/>
        </row>
        <row r="135">
          <cell r="G135">
            <v>1.1299999999999999</v>
          </cell>
          <cell r="H135">
            <v>1.1299999999999999</v>
          </cell>
          <cell r="I135"/>
          <cell r="J135"/>
          <cell r="K135"/>
          <cell r="L135"/>
          <cell r="M135"/>
          <cell r="N135"/>
          <cell r="O135"/>
          <cell r="P135"/>
          <cell r="Q135"/>
          <cell r="R135"/>
          <cell r="S135"/>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cell r="J140"/>
          <cell r="K140"/>
          <cell r="L140"/>
          <cell r="M140"/>
          <cell r="N140"/>
          <cell r="O140"/>
          <cell r="P140"/>
          <cell r="Q140"/>
          <cell r="R140"/>
          <cell r="S140"/>
          <cell r="T140"/>
          <cell r="U140"/>
          <cell r="V140"/>
          <cell r="W140"/>
          <cell r="X140"/>
          <cell r="Y140"/>
          <cell r="Z140"/>
          <cell r="AA140"/>
          <cell r="AB140"/>
          <cell r="AF140">
            <v>2</v>
          </cell>
          <cell r="AG140">
            <v>2</v>
          </cell>
          <cell r="AH140">
            <v>2</v>
          </cell>
          <cell r="AI140">
            <v>2</v>
          </cell>
          <cell r="AJ140">
            <v>0</v>
          </cell>
          <cell r="AK140">
            <v>0</v>
          </cell>
          <cell r="AL140"/>
          <cell r="AM140"/>
          <cell r="AN140"/>
          <cell r="AO140"/>
          <cell r="AP140"/>
          <cell r="AQ140"/>
          <cell r="AR140"/>
          <cell r="AS140"/>
          <cell r="AT140"/>
          <cell r="AU140"/>
          <cell r="AV140"/>
          <cell r="AW140"/>
          <cell r="AX140"/>
          <cell r="AY140"/>
          <cell r="AZ140"/>
          <cell r="BA140"/>
          <cell r="BB140"/>
          <cell r="BC140"/>
          <cell r="BD140"/>
          <cell r="BE140"/>
        </row>
        <row r="141">
          <cell r="C141">
            <v>5</v>
          </cell>
          <cell r="D141">
            <v>5</v>
          </cell>
          <cell r="E141">
            <v>2</v>
          </cell>
          <cell r="F141">
            <v>3</v>
          </cell>
          <cell r="G141">
            <v>3</v>
          </cell>
          <cell r="H141">
            <v>2</v>
          </cell>
          <cell r="I141"/>
          <cell r="J141"/>
          <cell r="K141"/>
          <cell r="L141"/>
          <cell r="M141"/>
          <cell r="N141"/>
          <cell r="O141"/>
          <cell r="P141"/>
          <cell r="Q141"/>
          <cell r="R141"/>
          <cell r="S141"/>
          <cell r="T141"/>
          <cell r="U141"/>
          <cell r="V141"/>
          <cell r="W141"/>
          <cell r="X141"/>
          <cell r="Y141"/>
          <cell r="Z141"/>
          <cell r="AA141"/>
          <cell r="AB141"/>
          <cell r="AF141">
            <v>0</v>
          </cell>
          <cell r="AG141">
            <v>2</v>
          </cell>
          <cell r="AH141">
            <v>0</v>
          </cell>
          <cell r="AI141">
            <v>0</v>
          </cell>
          <cell r="AJ141">
            <v>0</v>
          </cell>
          <cell r="AK141">
            <v>2</v>
          </cell>
          <cell r="AL141"/>
          <cell r="AM141"/>
          <cell r="AN141"/>
          <cell r="AO141"/>
          <cell r="AP141"/>
          <cell r="AQ141"/>
          <cell r="AR141"/>
          <cell r="AS141"/>
          <cell r="AT141"/>
          <cell r="AU141"/>
          <cell r="AV141"/>
          <cell r="AW141"/>
          <cell r="AX141"/>
          <cell r="AY141"/>
          <cell r="AZ141"/>
          <cell r="BA141"/>
          <cell r="BB141"/>
          <cell r="BC141"/>
          <cell r="BD141"/>
          <cell r="BE141"/>
        </row>
        <row r="142">
          <cell r="C142">
            <v>0</v>
          </cell>
          <cell r="D142">
            <v>0</v>
          </cell>
          <cell r="E142">
            <v>0</v>
          </cell>
          <cell r="F142">
            <v>0</v>
          </cell>
          <cell r="G142">
            <v>0</v>
          </cell>
          <cell r="H142">
            <v>0</v>
          </cell>
          <cell r="I142"/>
          <cell r="J142"/>
          <cell r="K142"/>
          <cell r="L142"/>
          <cell r="M142"/>
          <cell r="N142"/>
          <cell r="O142"/>
          <cell r="P142"/>
          <cell r="Q142"/>
          <cell r="R142"/>
          <cell r="S142"/>
          <cell r="T142"/>
          <cell r="U142"/>
          <cell r="V142"/>
          <cell r="W142"/>
          <cell r="X142"/>
          <cell r="Y142"/>
          <cell r="Z142"/>
          <cell r="AA142"/>
          <cell r="AB142"/>
          <cell r="AF142">
            <v>0</v>
          </cell>
          <cell r="AG142">
            <v>0</v>
          </cell>
          <cell r="AH142">
            <v>0</v>
          </cell>
          <cell r="AI142">
            <v>0</v>
          </cell>
          <cell r="AJ142">
            <v>0</v>
          </cell>
          <cell r="AK142">
            <v>0</v>
          </cell>
          <cell r="AL142"/>
          <cell r="AM142"/>
          <cell r="AN142"/>
          <cell r="AO142"/>
          <cell r="AP142"/>
          <cell r="AQ142"/>
          <cell r="AR142"/>
          <cell r="AS142"/>
          <cell r="AT142"/>
          <cell r="AU142"/>
          <cell r="AV142"/>
          <cell r="AW142"/>
          <cell r="AX142"/>
          <cell r="AY142"/>
          <cell r="AZ142"/>
          <cell r="BA142"/>
          <cell r="BB142"/>
          <cell r="BC142"/>
          <cell r="BD142"/>
          <cell r="BE142"/>
        </row>
        <row r="143">
          <cell r="C143">
            <v>0</v>
          </cell>
          <cell r="D143">
            <v>0</v>
          </cell>
          <cell r="E143">
            <v>0</v>
          </cell>
          <cell r="F143">
            <v>0</v>
          </cell>
          <cell r="G143">
            <v>0</v>
          </cell>
          <cell r="H143">
            <v>0</v>
          </cell>
          <cell r="I143"/>
          <cell r="J143"/>
          <cell r="K143"/>
          <cell r="L143"/>
          <cell r="M143"/>
          <cell r="N143"/>
          <cell r="O143"/>
          <cell r="P143"/>
          <cell r="Q143"/>
          <cell r="R143"/>
          <cell r="S143"/>
          <cell r="T143"/>
          <cell r="U143"/>
          <cell r="V143"/>
          <cell r="W143"/>
          <cell r="X143"/>
          <cell r="Y143"/>
          <cell r="Z143"/>
          <cell r="AA143"/>
          <cell r="AB143"/>
          <cell r="AF143">
            <v>12</v>
          </cell>
          <cell r="AG143">
            <v>16</v>
          </cell>
          <cell r="AH143">
            <v>12</v>
          </cell>
          <cell r="AI143">
            <v>16</v>
          </cell>
          <cell r="AJ143">
            <v>0</v>
          </cell>
          <cell r="AK143">
            <v>0</v>
          </cell>
          <cell r="AL143"/>
          <cell r="AM143"/>
          <cell r="AN143"/>
          <cell r="AO143"/>
          <cell r="AP143"/>
          <cell r="AQ143"/>
          <cell r="AR143"/>
          <cell r="AS143"/>
          <cell r="AT143"/>
          <cell r="AU143"/>
          <cell r="AV143"/>
          <cell r="AW143"/>
          <cell r="AX143"/>
          <cell r="AY143"/>
          <cell r="AZ143"/>
          <cell r="BA143"/>
          <cell r="BB143"/>
          <cell r="BC143"/>
          <cell r="BD143"/>
          <cell r="BE143"/>
        </row>
        <row r="144">
          <cell r="C144">
            <v>2</v>
          </cell>
          <cell r="D144">
            <v>2</v>
          </cell>
          <cell r="E144">
            <v>1</v>
          </cell>
          <cell r="F144">
            <v>0</v>
          </cell>
          <cell r="G144">
            <v>1</v>
          </cell>
          <cell r="H144">
            <v>2</v>
          </cell>
          <cell r="I144"/>
          <cell r="J144"/>
          <cell r="K144"/>
          <cell r="L144"/>
          <cell r="M144"/>
          <cell r="N144"/>
          <cell r="O144"/>
          <cell r="P144"/>
          <cell r="Q144"/>
          <cell r="R144"/>
          <cell r="S144"/>
          <cell r="T144"/>
          <cell r="U144"/>
          <cell r="V144"/>
          <cell r="W144"/>
          <cell r="X144"/>
          <cell r="Y144"/>
          <cell r="Z144"/>
          <cell r="AA144"/>
          <cell r="AB144"/>
          <cell r="AF144">
            <v>2</v>
          </cell>
          <cell r="AG144">
            <v>1</v>
          </cell>
          <cell r="AH144">
            <v>1</v>
          </cell>
          <cell r="AI144">
            <v>1</v>
          </cell>
          <cell r="AJ144">
            <v>1</v>
          </cell>
          <cell r="AK144">
            <v>0</v>
          </cell>
          <cell r="AL144"/>
          <cell r="AM144"/>
          <cell r="AN144"/>
          <cell r="AO144"/>
          <cell r="AP144"/>
          <cell r="AQ144"/>
          <cell r="AR144"/>
          <cell r="AS144"/>
          <cell r="AT144"/>
          <cell r="AU144"/>
          <cell r="AV144"/>
          <cell r="AW144"/>
          <cell r="AX144"/>
          <cell r="AY144"/>
          <cell r="AZ144"/>
          <cell r="BA144"/>
          <cell r="BB144"/>
          <cell r="BC144"/>
          <cell r="BD144"/>
          <cell r="BE144"/>
        </row>
        <row r="145">
          <cell r="C145">
            <v>3</v>
          </cell>
          <cell r="D145">
            <v>2</v>
          </cell>
          <cell r="E145">
            <v>2</v>
          </cell>
          <cell r="F145">
            <v>0</v>
          </cell>
          <cell r="G145">
            <v>1</v>
          </cell>
          <cell r="H145">
            <v>2</v>
          </cell>
          <cell r="I145"/>
          <cell r="J145"/>
          <cell r="K145"/>
          <cell r="L145"/>
          <cell r="M145"/>
          <cell r="N145"/>
          <cell r="O145"/>
          <cell r="P145"/>
          <cell r="Q145"/>
          <cell r="R145"/>
          <cell r="S145"/>
          <cell r="T145"/>
          <cell r="U145"/>
          <cell r="V145"/>
          <cell r="W145"/>
          <cell r="X145"/>
          <cell r="Y145"/>
          <cell r="Z145"/>
          <cell r="AA145"/>
          <cell r="AB145"/>
          <cell r="AF145">
            <v>2</v>
          </cell>
          <cell r="AG145">
            <v>7</v>
          </cell>
          <cell r="AH145">
            <v>1</v>
          </cell>
          <cell r="AI145">
            <v>0</v>
          </cell>
          <cell r="AJ145">
            <v>1</v>
          </cell>
          <cell r="AK145">
            <v>7</v>
          </cell>
          <cell r="AL145"/>
          <cell r="AM145"/>
          <cell r="AN145"/>
          <cell r="AO145"/>
          <cell r="AP145"/>
          <cell r="AQ145"/>
          <cell r="AR145"/>
          <cell r="AS145"/>
          <cell r="AT145"/>
          <cell r="AU145"/>
          <cell r="AV145"/>
          <cell r="AW145"/>
          <cell r="AX145"/>
          <cell r="AY145"/>
          <cell r="AZ145"/>
          <cell r="BA145"/>
          <cell r="BB145"/>
          <cell r="BC145"/>
          <cell r="BD145"/>
          <cell r="BE145"/>
        </row>
        <row r="146">
          <cell r="C146">
            <v>0</v>
          </cell>
          <cell r="D146">
            <v>0</v>
          </cell>
          <cell r="E146">
            <v>0</v>
          </cell>
          <cell r="F146">
            <v>0</v>
          </cell>
          <cell r="G146">
            <v>0</v>
          </cell>
          <cell r="H146">
            <v>0</v>
          </cell>
          <cell r="I146"/>
          <cell r="J146"/>
          <cell r="K146"/>
          <cell r="L146"/>
          <cell r="M146"/>
          <cell r="N146"/>
          <cell r="O146"/>
          <cell r="P146"/>
          <cell r="Q146"/>
          <cell r="R146"/>
          <cell r="S146"/>
          <cell r="T146"/>
          <cell r="U146"/>
          <cell r="V146"/>
          <cell r="W146"/>
          <cell r="X146"/>
          <cell r="Y146"/>
          <cell r="Z146"/>
          <cell r="AA146"/>
          <cell r="AB146"/>
          <cell r="AF146">
            <v>0</v>
          </cell>
          <cell r="AG146">
            <v>0</v>
          </cell>
          <cell r="AH146">
            <v>0</v>
          </cell>
          <cell r="AI146">
            <v>0</v>
          </cell>
          <cell r="AJ146">
            <v>0</v>
          </cell>
          <cell r="AK146">
            <v>0</v>
          </cell>
          <cell r="AL146"/>
          <cell r="AM146"/>
          <cell r="AN146"/>
          <cell r="AO146"/>
          <cell r="AP146"/>
          <cell r="AQ146"/>
          <cell r="AR146"/>
          <cell r="AS146"/>
          <cell r="AT146"/>
          <cell r="AU146"/>
          <cell r="AV146"/>
          <cell r="AW146"/>
          <cell r="AX146"/>
          <cell r="AY146"/>
          <cell r="AZ146"/>
          <cell r="BA146"/>
          <cell r="BB146"/>
          <cell r="BC146"/>
          <cell r="BD146"/>
          <cell r="BE146"/>
        </row>
        <row r="147">
          <cell r="C147">
            <v>182</v>
          </cell>
          <cell r="D147">
            <v>17</v>
          </cell>
          <cell r="E147">
            <v>2</v>
          </cell>
          <cell r="F147">
            <v>0</v>
          </cell>
          <cell r="G147">
            <v>180</v>
          </cell>
          <cell r="H147">
            <v>17</v>
          </cell>
          <cell r="I147"/>
          <cell r="J147"/>
          <cell r="K147"/>
          <cell r="L147"/>
          <cell r="M147"/>
          <cell r="N147"/>
          <cell r="O147"/>
          <cell r="P147"/>
          <cell r="Q147"/>
          <cell r="R147"/>
          <cell r="S147"/>
          <cell r="T147"/>
          <cell r="U147"/>
          <cell r="V147"/>
          <cell r="W147"/>
          <cell r="X147"/>
          <cell r="Y147"/>
          <cell r="Z147"/>
          <cell r="AA147"/>
          <cell r="AB147"/>
          <cell r="AF147">
            <v>10</v>
          </cell>
          <cell r="AG147">
            <v>3</v>
          </cell>
          <cell r="AH147">
            <v>5</v>
          </cell>
          <cell r="AI147">
            <v>3</v>
          </cell>
          <cell r="AJ147">
            <v>5</v>
          </cell>
          <cell r="AK147">
            <v>0</v>
          </cell>
          <cell r="AL147"/>
          <cell r="AM147"/>
          <cell r="AN147"/>
          <cell r="AO147"/>
          <cell r="AP147"/>
          <cell r="AQ147"/>
          <cell r="AR147"/>
          <cell r="AS147"/>
          <cell r="AT147"/>
          <cell r="AU147"/>
          <cell r="AV147"/>
          <cell r="AW147"/>
          <cell r="AX147"/>
          <cell r="AY147"/>
          <cell r="AZ147"/>
          <cell r="BA147"/>
          <cell r="BB147"/>
          <cell r="BC147"/>
          <cell r="BD147"/>
          <cell r="BE147"/>
        </row>
        <row r="148">
          <cell r="C148">
            <v>1</v>
          </cell>
          <cell r="D148">
            <v>0</v>
          </cell>
          <cell r="E148">
            <v>1</v>
          </cell>
          <cell r="F148">
            <v>0</v>
          </cell>
          <cell r="G148">
            <v>0</v>
          </cell>
          <cell r="H148">
            <v>0</v>
          </cell>
          <cell r="I148"/>
          <cell r="J148"/>
          <cell r="K148"/>
          <cell r="L148"/>
          <cell r="M148"/>
          <cell r="N148"/>
          <cell r="O148"/>
          <cell r="P148"/>
          <cell r="Q148"/>
          <cell r="R148"/>
          <cell r="S148"/>
          <cell r="T148"/>
          <cell r="U148"/>
          <cell r="V148"/>
          <cell r="W148"/>
          <cell r="X148"/>
          <cell r="Y148"/>
          <cell r="Z148"/>
          <cell r="AA148"/>
          <cell r="AB148"/>
          <cell r="AF148">
            <v>8</v>
          </cell>
          <cell r="AG148">
            <v>1</v>
          </cell>
          <cell r="AH148">
            <v>3</v>
          </cell>
          <cell r="AI148">
            <v>1</v>
          </cell>
          <cell r="AJ148">
            <v>5</v>
          </cell>
          <cell r="AK148">
            <v>0</v>
          </cell>
          <cell r="AL148"/>
          <cell r="AM148"/>
          <cell r="AN148"/>
          <cell r="AO148"/>
          <cell r="AP148"/>
          <cell r="AQ148"/>
          <cell r="AR148"/>
          <cell r="AS148"/>
          <cell r="AT148"/>
          <cell r="AU148"/>
          <cell r="AV148"/>
          <cell r="AW148"/>
          <cell r="AX148"/>
          <cell r="AY148"/>
          <cell r="AZ148"/>
          <cell r="BA148"/>
          <cell r="BB148"/>
          <cell r="BC148"/>
          <cell r="BD148"/>
          <cell r="BE148"/>
        </row>
        <row r="149">
          <cell r="C149">
            <v>4</v>
          </cell>
          <cell r="D149">
            <v>4</v>
          </cell>
          <cell r="E149">
            <v>1</v>
          </cell>
          <cell r="F149">
            <v>2</v>
          </cell>
          <cell r="G149">
            <v>3</v>
          </cell>
          <cell r="H149">
            <v>2</v>
          </cell>
          <cell r="I149"/>
          <cell r="J149"/>
          <cell r="K149"/>
          <cell r="L149"/>
          <cell r="M149"/>
          <cell r="N149"/>
          <cell r="O149"/>
          <cell r="P149"/>
          <cell r="Q149"/>
          <cell r="R149"/>
          <cell r="S149"/>
          <cell r="T149"/>
          <cell r="U149"/>
          <cell r="V149"/>
          <cell r="W149"/>
          <cell r="X149"/>
          <cell r="Y149"/>
          <cell r="Z149"/>
          <cell r="AA149"/>
          <cell r="AB149"/>
          <cell r="AF149">
            <v>5</v>
          </cell>
          <cell r="AG149">
            <v>3</v>
          </cell>
          <cell r="AH149">
            <v>4</v>
          </cell>
          <cell r="AI149">
            <v>2</v>
          </cell>
          <cell r="AJ149">
            <v>1</v>
          </cell>
          <cell r="AK149">
            <v>1</v>
          </cell>
          <cell r="AL149"/>
          <cell r="AM149"/>
          <cell r="AN149"/>
          <cell r="AO149"/>
          <cell r="AP149"/>
          <cell r="AQ149"/>
          <cell r="AR149"/>
          <cell r="AS149"/>
          <cell r="AT149"/>
          <cell r="AU149"/>
          <cell r="AV149"/>
          <cell r="AW149"/>
          <cell r="AX149"/>
          <cell r="AY149"/>
          <cell r="AZ149"/>
          <cell r="BA149"/>
          <cell r="BB149"/>
          <cell r="BC149"/>
          <cell r="BD149"/>
          <cell r="BE149"/>
        </row>
        <row r="150">
          <cell r="C150">
            <v>0</v>
          </cell>
          <cell r="D150">
            <v>0</v>
          </cell>
          <cell r="E150">
            <v>0</v>
          </cell>
          <cell r="F150">
            <v>0</v>
          </cell>
          <cell r="G150">
            <v>0</v>
          </cell>
          <cell r="H150">
            <v>0</v>
          </cell>
          <cell r="I150"/>
          <cell r="J150"/>
          <cell r="K150"/>
          <cell r="L150"/>
          <cell r="M150"/>
          <cell r="N150"/>
          <cell r="O150"/>
          <cell r="P150"/>
          <cell r="Q150"/>
          <cell r="R150"/>
          <cell r="S150"/>
          <cell r="T150"/>
          <cell r="U150"/>
          <cell r="V150"/>
          <cell r="W150"/>
          <cell r="X150"/>
          <cell r="Y150"/>
          <cell r="Z150"/>
          <cell r="AA150"/>
          <cell r="AB150"/>
          <cell r="AF150">
            <v>0</v>
          </cell>
          <cell r="AG150">
            <v>0</v>
          </cell>
          <cell r="AH150">
            <v>0</v>
          </cell>
          <cell r="AI150">
            <v>0</v>
          </cell>
          <cell r="AJ150">
            <v>0</v>
          </cell>
          <cell r="AK150">
            <v>0</v>
          </cell>
          <cell r="AL150"/>
          <cell r="AM150"/>
          <cell r="AN150"/>
          <cell r="AO150"/>
          <cell r="AP150"/>
          <cell r="AQ150"/>
          <cell r="AR150"/>
          <cell r="AS150"/>
          <cell r="AT150"/>
          <cell r="AU150"/>
          <cell r="AV150"/>
          <cell r="AW150"/>
          <cell r="AX150"/>
          <cell r="AY150"/>
          <cell r="AZ150"/>
          <cell r="BA150"/>
          <cell r="BB150"/>
          <cell r="BC150"/>
          <cell r="BD150"/>
          <cell r="BE150"/>
        </row>
        <row r="151">
          <cell r="C151">
            <v>71</v>
          </cell>
          <cell r="D151">
            <v>0</v>
          </cell>
          <cell r="E151">
            <v>71</v>
          </cell>
          <cell r="F151">
            <v>0</v>
          </cell>
          <cell r="G151">
            <v>0</v>
          </cell>
          <cell r="H151">
            <v>0</v>
          </cell>
          <cell r="I151"/>
          <cell r="J151"/>
          <cell r="K151"/>
          <cell r="L151"/>
          <cell r="M151"/>
          <cell r="N151"/>
          <cell r="O151"/>
          <cell r="P151"/>
          <cell r="Q151"/>
          <cell r="R151"/>
          <cell r="S151"/>
          <cell r="T151"/>
          <cell r="U151"/>
          <cell r="V151"/>
          <cell r="W151"/>
          <cell r="X151"/>
          <cell r="Y151"/>
          <cell r="Z151"/>
          <cell r="AA151"/>
          <cell r="AB151"/>
          <cell r="AF151">
            <v>64</v>
          </cell>
          <cell r="AG151">
            <v>5</v>
          </cell>
          <cell r="AH151">
            <v>29</v>
          </cell>
          <cell r="AI151">
            <v>5</v>
          </cell>
          <cell r="AJ151">
            <v>35</v>
          </cell>
          <cell r="AK151">
            <v>0</v>
          </cell>
          <cell r="AL151"/>
          <cell r="AM151"/>
          <cell r="AN151"/>
          <cell r="AO151"/>
          <cell r="AP151"/>
          <cell r="AQ151"/>
          <cell r="AR151"/>
          <cell r="AS151"/>
          <cell r="AT151"/>
          <cell r="AU151"/>
          <cell r="AV151"/>
          <cell r="AW151"/>
          <cell r="AX151"/>
          <cell r="AY151"/>
          <cell r="AZ151"/>
          <cell r="BA151"/>
          <cell r="BB151"/>
          <cell r="BC151"/>
          <cell r="BD151"/>
          <cell r="BE151"/>
        </row>
        <row r="152">
          <cell r="C152">
            <v>1</v>
          </cell>
          <cell r="D152">
            <v>0</v>
          </cell>
          <cell r="E152">
            <v>1</v>
          </cell>
          <cell r="F152">
            <v>0</v>
          </cell>
          <cell r="G152">
            <v>0</v>
          </cell>
          <cell r="H152">
            <v>0</v>
          </cell>
          <cell r="I152"/>
          <cell r="J152"/>
          <cell r="K152"/>
          <cell r="L152"/>
          <cell r="M152"/>
          <cell r="N152"/>
          <cell r="O152"/>
          <cell r="P152"/>
          <cell r="Q152"/>
          <cell r="R152"/>
          <cell r="S152"/>
          <cell r="T152"/>
          <cell r="U152"/>
          <cell r="V152"/>
          <cell r="W152"/>
          <cell r="X152"/>
          <cell r="Y152"/>
          <cell r="Z152"/>
          <cell r="AA152"/>
          <cell r="AB152"/>
          <cell r="AF152">
            <v>1</v>
          </cell>
          <cell r="AG152">
            <v>1</v>
          </cell>
          <cell r="AH152">
            <v>1</v>
          </cell>
          <cell r="AI152">
            <v>1</v>
          </cell>
          <cell r="AJ152">
            <v>0</v>
          </cell>
          <cell r="AK152">
            <v>0</v>
          </cell>
          <cell r="AL152"/>
          <cell r="AM152"/>
          <cell r="AN152"/>
          <cell r="AO152"/>
          <cell r="AP152"/>
          <cell r="AQ152"/>
          <cell r="AR152"/>
          <cell r="AS152"/>
          <cell r="AT152"/>
          <cell r="AU152"/>
          <cell r="AV152"/>
          <cell r="AW152"/>
          <cell r="AX152"/>
          <cell r="AY152"/>
          <cell r="AZ152"/>
          <cell r="BA152"/>
          <cell r="BB152"/>
          <cell r="BC152"/>
          <cell r="BD152"/>
          <cell r="BE152"/>
        </row>
        <row r="153">
          <cell r="C153">
            <v>4</v>
          </cell>
          <cell r="D153">
            <v>2</v>
          </cell>
          <cell r="E153">
            <v>3</v>
          </cell>
          <cell r="F153">
            <v>1</v>
          </cell>
          <cell r="G153">
            <v>1</v>
          </cell>
          <cell r="H153">
            <v>1</v>
          </cell>
          <cell r="I153"/>
          <cell r="J153"/>
          <cell r="K153"/>
          <cell r="L153"/>
          <cell r="M153"/>
          <cell r="N153"/>
          <cell r="O153"/>
          <cell r="P153"/>
          <cell r="Q153"/>
          <cell r="R153"/>
          <cell r="S153"/>
          <cell r="T153"/>
          <cell r="U153"/>
          <cell r="V153"/>
          <cell r="W153"/>
          <cell r="X153"/>
          <cell r="Y153"/>
          <cell r="Z153"/>
          <cell r="AA153"/>
          <cell r="AB153"/>
          <cell r="AF153">
            <v>3</v>
          </cell>
          <cell r="AG153">
            <v>1</v>
          </cell>
          <cell r="AH153">
            <v>1</v>
          </cell>
          <cell r="AI153">
            <v>1</v>
          </cell>
          <cell r="AJ153">
            <v>2</v>
          </cell>
          <cell r="AK153">
            <v>0</v>
          </cell>
          <cell r="AL153"/>
          <cell r="AM153"/>
          <cell r="AN153"/>
          <cell r="AO153"/>
          <cell r="AP153"/>
          <cell r="AQ153"/>
          <cell r="AR153"/>
          <cell r="AS153"/>
          <cell r="AT153"/>
          <cell r="AU153"/>
          <cell r="AV153"/>
          <cell r="AW153"/>
          <cell r="AX153"/>
          <cell r="AY153"/>
          <cell r="AZ153"/>
          <cell r="BA153"/>
          <cell r="BB153"/>
          <cell r="BC153"/>
          <cell r="BD153"/>
          <cell r="BE153"/>
        </row>
        <row r="154">
          <cell r="C154">
            <v>0</v>
          </cell>
          <cell r="D154">
            <v>0</v>
          </cell>
          <cell r="E154">
            <v>0</v>
          </cell>
          <cell r="F154">
            <v>0</v>
          </cell>
          <cell r="G154">
            <v>0</v>
          </cell>
          <cell r="H154">
            <v>0</v>
          </cell>
          <cell r="I154"/>
          <cell r="J154"/>
          <cell r="K154"/>
          <cell r="L154"/>
          <cell r="M154"/>
          <cell r="N154"/>
          <cell r="O154"/>
          <cell r="P154"/>
          <cell r="Q154"/>
          <cell r="R154"/>
          <cell r="S154"/>
          <cell r="T154"/>
          <cell r="U154"/>
          <cell r="V154"/>
          <cell r="W154"/>
          <cell r="X154"/>
          <cell r="Y154"/>
          <cell r="Z154"/>
          <cell r="AA154"/>
          <cell r="AB154"/>
          <cell r="AF154">
            <v>0</v>
          </cell>
          <cell r="AG154">
            <v>0</v>
          </cell>
          <cell r="AH154">
            <v>0</v>
          </cell>
          <cell r="AI154">
            <v>0</v>
          </cell>
          <cell r="AJ154">
            <v>0</v>
          </cell>
          <cell r="AK154">
            <v>0</v>
          </cell>
          <cell r="AL154"/>
          <cell r="AM154"/>
          <cell r="AN154"/>
          <cell r="AO154"/>
          <cell r="AP154"/>
          <cell r="AQ154"/>
          <cell r="AR154"/>
          <cell r="AS154"/>
          <cell r="AT154"/>
          <cell r="AU154"/>
          <cell r="AV154"/>
          <cell r="AW154"/>
          <cell r="AX154"/>
          <cell r="AY154"/>
          <cell r="AZ154"/>
          <cell r="BA154"/>
          <cell r="BB154"/>
          <cell r="BC154"/>
          <cell r="BD154"/>
          <cell r="BE154"/>
        </row>
        <row r="155">
          <cell r="C155">
            <v>5</v>
          </cell>
          <cell r="D155">
            <v>0</v>
          </cell>
          <cell r="E155">
            <v>5</v>
          </cell>
          <cell r="F155">
            <v>0</v>
          </cell>
          <cell r="G155">
            <v>0</v>
          </cell>
          <cell r="H155">
            <v>0</v>
          </cell>
          <cell r="I155"/>
          <cell r="J155"/>
          <cell r="K155"/>
          <cell r="L155"/>
          <cell r="M155"/>
          <cell r="N155"/>
          <cell r="O155"/>
          <cell r="P155"/>
          <cell r="Q155"/>
          <cell r="R155"/>
          <cell r="S155"/>
          <cell r="T155"/>
          <cell r="U155"/>
          <cell r="V155"/>
          <cell r="W155"/>
          <cell r="X155"/>
          <cell r="Y155"/>
          <cell r="Z155"/>
          <cell r="AA155"/>
          <cell r="AB155"/>
          <cell r="AF155">
            <v>6</v>
          </cell>
          <cell r="AG155">
            <v>8</v>
          </cell>
          <cell r="AH155">
            <v>6</v>
          </cell>
          <cell r="AI155">
            <v>8</v>
          </cell>
          <cell r="AJ155">
            <v>0</v>
          </cell>
          <cell r="AK155">
            <v>0</v>
          </cell>
          <cell r="AL155"/>
          <cell r="AM155"/>
          <cell r="AN155"/>
          <cell r="AO155"/>
          <cell r="AP155"/>
          <cell r="AQ155"/>
          <cell r="AR155"/>
          <cell r="AS155"/>
          <cell r="AT155"/>
          <cell r="AU155"/>
          <cell r="AV155"/>
          <cell r="AW155"/>
          <cell r="AX155"/>
          <cell r="AY155"/>
          <cell r="AZ155"/>
          <cell r="BA155"/>
          <cell r="BB155"/>
          <cell r="BC155"/>
          <cell r="BD155"/>
          <cell r="BE155"/>
        </row>
        <row r="156">
          <cell r="C156">
            <v>0</v>
          </cell>
          <cell r="D156">
            <v>0</v>
          </cell>
          <cell r="E156">
            <v>0</v>
          </cell>
          <cell r="F156">
            <v>0</v>
          </cell>
          <cell r="G156">
            <v>0</v>
          </cell>
          <cell r="H156">
            <v>0</v>
          </cell>
          <cell r="I156"/>
          <cell r="J156"/>
          <cell r="K156"/>
          <cell r="L156"/>
          <cell r="M156"/>
          <cell r="N156"/>
          <cell r="O156"/>
          <cell r="P156"/>
          <cell r="Q156"/>
          <cell r="R156"/>
          <cell r="S156"/>
          <cell r="T156"/>
          <cell r="U156"/>
          <cell r="V156"/>
          <cell r="W156"/>
          <cell r="X156"/>
          <cell r="Y156"/>
          <cell r="Z156"/>
          <cell r="AA156"/>
          <cell r="AB156"/>
          <cell r="AF156">
            <v>3</v>
          </cell>
          <cell r="AG156">
            <v>0</v>
          </cell>
          <cell r="AH156">
            <v>3</v>
          </cell>
          <cell r="AI156">
            <v>0</v>
          </cell>
          <cell r="AJ156">
            <v>0</v>
          </cell>
          <cell r="AK156">
            <v>0</v>
          </cell>
          <cell r="AL156"/>
          <cell r="AM156"/>
          <cell r="AN156"/>
          <cell r="AO156"/>
          <cell r="AP156"/>
          <cell r="AQ156"/>
          <cell r="AR156"/>
          <cell r="AS156"/>
          <cell r="AT156"/>
          <cell r="AU156"/>
          <cell r="AV156"/>
          <cell r="AW156"/>
          <cell r="AX156"/>
          <cell r="AY156"/>
          <cell r="AZ156"/>
          <cell r="BA156"/>
          <cell r="BB156"/>
          <cell r="BC156"/>
          <cell r="BD156"/>
          <cell r="BE156"/>
        </row>
        <row r="157">
          <cell r="C157">
            <v>2</v>
          </cell>
          <cell r="D157">
            <v>1</v>
          </cell>
          <cell r="E157">
            <v>1</v>
          </cell>
          <cell r="F157">
            <v>0</v>
          </cell>
          <cell r="G157">
            <v>1</v>
          </cell>
          <cell r="H157">
            <v>1</v>
          </cell>
          <cell r="I157"/>
          <cell r="J157"/>
          <cell r="K157"/>
          <cell r="L157"/>
          <cell r="M157"/>
          <cell r="N157"/>
          <cell r="O157"/>
          <cell r="P157"/>
          <cell r="Q157"/>
          <cell r="R157"/>
          <cell r="S157"/>
          <cell r="T157"/>
          <cell r="U157"/>
          <cell r="V157"/>
          <cell r="W157"/>
          <cell r="X157"/>
          <cell r="Y157"/>
          <cell r="Z157"/>
          <cell r="AA157"/>
          <cell r="AB157"/>
          <cell r="AF157">
            <v>3</v>
          </cell>
          <cell r="AG157">
            <v>2</v>
          </cell>
          <cell r="AH157">
            <v>3</v>
          </cell>
          <cell r="AI157">
            <v>1</v>
          </cell>
          <cell r="AJ157">
            <v>0</v>
          </cell>
          <cell r="AK157">
            <v>1</v>
          </cell>
          <cell r="AL157"/>
          <cell r="AM157"/>
          <cell r="AN157"/>
          <cell r="AO157"/>
          <cell r="AP157"/>
          <cell r="AQ157"/>
          <cell r="AR157"/>
          <cell r="AS157"/>
          <cell r="AT157"/>
          <cell r="AU157"/>
          <cell r="AV157"/>
          <cell r="AW157"/>
          <cell r="AX157"/>
          <cell r="AY157"/>
          <cell r="AZ157"/>
          <cell r="BA157"/>
          <cell r="BB157"/>
          <cell r="BC157"/>
          <cell r="BD157"/>
          <cell r="BE157"/>
        </row>
        <row r="158">
          <cell r="C158">
            <v>0</v>
          </cell>
          <cell r="D158">
            <v>0</v>
          </cell>
          <cell r="E158">
            <v>0</v>
          </cell>
          <cell r="F158">
            <v>0</v>
          </cell>
          <cell r="G158">
            <v>0</v>
          </cell>
          <cell r="H158">
            <v>0</v>
          </cell>
          <cell r="I158"/>
          <cell r="J158"/>
          <cell r="K158"/>
          <cell r="L158"/>
          <cell r="M158"/>
          <cell r="N158"/>
          <cell r="O158"/>
          <cell r="P158"/>
          <cell r="Q158"/>
          <cell r="R158"/>
          <cell r="S158"/>
          <cell r="T158"/>
          <cell r="U158"/>
          <cell r="V158"/>
          <cell r="W158"/>
          <cell r="X158"/>
          <cell r="Y158"/>
          <cell r="Z158"/>
          <cell r="AA158"/>
          <cell r="AB158"/>
          <cell r="AF158">
            <v>0</v>
          </cell>
          <cell r="AG158">
            <v>0</v>
          </cell>
          <cell r="AH158">
            <v>0</v>
          </cell>
          <cell r="AI158">
            <v>0</v>
          </cell>
          <cell r="AJ158">
            <v>0</v>
          </cell>
          <cell r="AK158">
            <v>0</v>
          </cell>
          <cell r="AL158"/>
          <cell r="AM158"/>
          <cell r="AN158"/>
          <cell r="AO158"/>
          <cell r="AP158"/>
          <cell r="AQ158"/>
          <cell r="AR158"/>
          <cell r="AS158"/>
          <cell r="AT158"/>
          <cell r="AU158"/>
          <cell r="AV158"/>
          <cell r="AW158"/>
          <cell r="AX158"/>
          <cell r="AY158"/>
          <cell r="AZ158"/>
          <cell r="BA158"/>
          <cell r="BB158"/>
          <cell r="BC158"/>
          <cell r="BD158"/>
          <cell r="BE158"/>
        </row>
        <row r="159">
          <cell r="C159">
            <v>0</v>
          </cell>
          <cell r="D159">
            <v>0</v>
          </cell>
          <cell r="E159">
            <v>0</v>
          </cell>
          <cell r="F159">
            <v>0</v>
          </cell>
          <cell r="G159">
            <v>0</v>
          </cell>
          <cell r="H159">
            <v>0</v>
          </cell>
          <cell r="I159"/>
          <cell r="J159"/>
          <cell r="K159"/>
          <cell r="L159"/>
          <cell r="M159"/>
          <cell r="N159"/>
          <cell r="O159"/>
          <cell r="P159"/>
          <cell r="Q159"/>
          <cell r="R159"/>
          <cell r="S159"/>
          <cell r="T159"/>
          <cell r="U159"/>
          <cell r="V159"/>
          <cell r="W159"/>
          <cell r="X159"/>
          <cell r="Y159"/>
          <cell r="Z159"/>
          <cell r="AA159"/>
          <cell r="AB159"/>
          <cell r="AF159">
            <v>33</v>
          </cell>
          <cell r="AG159">
            <v>0</v>
          </cell>
          <cell r="AH159">
            <v>33</v>
          </cell>
          <cell r="AI159">
            <v>0</v>
          </cell>
          <cell r="AJ159">
            <v>0</v>
          </cell>
          <cell r="AK159">
            <v>0</v>
          </cell>
          <cell r="AL159"/>
          <cell r="AM159"/>
          <cell r="AN159"/>
          <cell r="AO159"/>
          <cell r="AP159"/>
          <cell r="AQ159"/>
          <cell r="AR159"/>
          <cell r="AS159"/>
          <cell r="AT159"/>
          <cell r="AU159"/>
          <cell r="AV159"/>
          <cell r="AW159"/>
          <cell r="AX159"/>
          <cell r="AY159"/>
          <cell r="AZ159"/>
          <cell r="BA159"/>
          <cell r="BB159"/>
          <cell r="BC159"/>
          <cell r="BD159"/>
          <cell r="BE159"/>
        </row>
        <row r="160">
          <cell r="C160">
            <v>0</v>
          </cell>
          <cell r="D160">
            <v>0</v>
          </cell>
          <cell r="E160">
            <v>0</v>
          </cell>
          <cell r="F160">
            <v>0</v>
          </cell>
          <cell r="G160">
            <v>0</v>
          </cell>
          <cell r="H160">
            <v>0</v>
          </cell>
          <cell r="I160"/>
          <cell r="J160"/>
          <cell r="K160"/>
          <cell r="L160"/>
          <cell r="M160"/>
          <cell r="N160"/>
          <cell r="O160"/>
          <cell r="P160"/>
          <cell r="Q160"/>
          <cell r="R160"/>
          <cell r="S160"/>
          <cell r="T160"/>
          <cell r="U160"/>
          <cell r="V160"/>
          <cell r="W160"/>
          <cell r="X160"/>
          <cell r="Y160"/>
          <cell r="Z160"/>
          <cell r="AA160"/>
          <cell r="AB160"/>
          <cell r="AF160">
            <v>0</v>
          </cell>
          <cell r="AG160">
            <v>0</v>
          </cell>
          <cell r="AH160">
            <v>0</v>
          </cell>
          <cell r="AI160">
            <v>0</v>
          </cell>
          <cell r="AJ160">
            <v>0</v>
          </cell>
          <cell r="AK160">
            <v>0</v>
          </cell>
          <cell r="AL160"/>
          <cell r="AM160"/>
          <cell r="AN160"/>
          <cell r="AO160"/>
          <cell r="AP160"/>
          <cell r="AQ160"/>
          <cell r="AR160"/>
          <cell r="AS160"/>
          <cell r="AT160"/>
          <cell r="AU160"/>
          <cell r="AV160"/>
          <cell r="AW160"/>
          <cell r="AX160"/>
          <cell r="AY160"/>
          <cell r="AZ160"/>
          <cell r="BA160"/>
          <cell r="BB160"/>
          <cell r="BC160"/>
          <cell r="BD160"/>
          <cell r="BE160"/>
        </row>
        <row r="161">
          <cell r="C161">
            <v>0</v>
          </cell>
          <cell r="D161">
            <v>1</v>
          </cell>
          <cell r="E161">
            <v>0</v>
          </cell>
          <cell r="F161">
            <v>0</v>
          </cell>
          <cell r="G161">
            <v>0</v>
          </cell>
          <cell r="H161">
            <v>1</v>
          </cell>
          <cell r="I161"/>
          <cell r="J161"/>
          <cell r="K161"/>
          <cell r="L161"/>
          <cell r="M161"/>
          <cell r="N161"/>
          <cell r="O161"/>
          <cell r="P161"/>
          <cell r="Q161"/>
          <cell r="R161"/>
          <cell r="S161"/>
          <cell r="T161"/>
          <cell r="U161"/>
          <cell r="V161"/>
          <cell r="W161"/>
          <cell r="X161"/>
          <cell r="Y161"/>
          <cell r="Z161"/>
          <cell r="AA161"/>
          <cell r="AB161"/>
          <cell r="AF161">
            <v>0</v>
          </cell>
          <cell r="AG161">
            <v>1</v>
          </cell>
          <cell r="AH161">
            <v>0</v>
          </cell>
          <cell r="AI161">
            <v>0</v>
          </cell>
          <cell r="AJ161">
            <v>0</v>
          </cell>
          <cell r="AK161">
            <v>1</v>
          </cell>
          <cell r="AL161"/>
          <cell r="AM161"/>
          <cell r="AN161"/>
          <cell r="AO161"/>
          <cell r="AP161"/>
          <cell r="AQ161"/>
          <cell r="AR161"/>
          <cell r="AS161"/>
          <cell r="AT161"/>
          <cell r="AU161"/>
          <cell r="AV161"/>
          <cell r="AW161"/>
          <cell r="AX161"/>
          <cell r="AY161"/>
          <cell r="AZ161"/>
          <cell r="BA161"/>
          <cell r="BB161"/>
          <cell r="BC161"/>
          <cell r="BD161"/>
          <cell r="BE161"/>
        </row>
        <row r="162">
          <cell r="C162">
            <v>0</v>
          </cell>
          <cell r="D162">
            <v>0</v>
          </cell>
          <cell r="E162">
            <v>0</v>
          </cell>
          <cell r="F162">
            <v>0</v>
          </cell>
          <cell r="G162">
            <v>0</v>
          </cell>
          <cell r="H162">
            <v>0</v>
          </cell>
          <cell r="I162"/>
          <cell r="J162"/>
          <cell r="K162"/>
          <cell r="L162"/>
          <cell r="M162"/>
          <cell r="N162"/>
          <cell r="O162"/>
          <cell r="P162"/>
          <cell r="Q162"/>
          <cell r="R162"/>
          <cell r="S162"/>
          <cell r="T162"/>
          <cell r="U162"/>
          <cell r="V162"/>
          <cell r="W162"/>
          <cell r="X162"/>
          <cell r="Y162"/>
          <cell r="Z162"/>
          <cell r="AA162"/>
          <cell r="AB162"/>
          <cell r="AF162">
            <v>0</v>
          </cell>
          <cell r="AG162">
            <v>0</v>
          </cell>
          <cell r="AH162">
            <v>0</v>
          </cell>
          <cell r="AI162">
            <v>0</v>
          </cell>
          <cell r="AJ162">
            <v>0</v>
          </cell>
          <cell r="AK162">
            <v>0</v>
          </cell>
          <cell r="AL162"/>
          <cell r="AM162"/>
          <cell r="AN162"/>
          <cell r="AO162"/>
          <cell r="AP162"/>
          <cell r="AQ162"/>
          <cell r="AR162"/>
          <cell r="AS162"/>
          <cell r="AT162"/>
          <cell r="AU162"/>
          <cell r="AV162"/>
          <cell r="AW162"/>
          <cell r="AX162"/>
          <cell r="AY162"/>
          <cell r="AZ162"/>
          <cell r="BA162"/>
          <cell r="BB162"/>
          <cell r="BC162"/>
          <cell r="BD162"/>
          <cell r="BE162"/>
        </row>
        <row r="163">
          <cell r="C163">
            <v>0</v>
          </cell>
          <cell r="D163">
            <v>0</v>
          </cell>
          <cell r="E163">
            <v>0</v>
          </cell>
          <cell r="F163">
            <v>0</v>
          </cell>
          <cell r="G163">
            <v>0</v>
          </cell>
          <cell r="H163">
            <v>0</v>
          </cell>
          <cell r="I163"/>
          <cell r="J163"/>
          <cell r="K163"/>
          <cell r="L163"/>
          <cell r="M163"/>
          <cell r="N163"/>
          <cell r="O163"/>
          <cell r="P163"/>
          <cell r="Q163"/>
          <cell r="R163"/>
          <cell r="S163"/>
          <cell r="T163"/>
          <cell r="U163"/>
          <cell r="V163"/>
          <cell r="W163"/>
          <cell r="X163"/>
          <cell r="Y163"/>
          <cell r="Z163"/>
          <cell r="AA163"/>
          <cell r="AB163"/>
          <cell r="AF163">
            <v>0</v>
          </cell>
          <cell r="AG163">
            <v>0</v>
          </cell>
          <cell r="AH163">
            <v>0</v>
          </cell>
          <cell r="AI163">
            <v>0</v>
          </cell>
          <cell r="AJ163">
            <v>0</v>
          </cell>
          <cell r="AK163">
            <v>0</v>
          </cell>
          <cell r="AL163"/>
          <cell r="AM163"/>
          <cell r="AN163"/>
          <cell r="AO163"/>
          <cell r="AP163"/>
          <cell r="AQ163"/>
          <cell r="AR163"/>
          <cell r="AS163"/>
          <cell r="AT163"/>
          <cell r="AU163"/>
          <cell r="AV163"/>
          <cell r="AW163"/>
          <cell r="AX163"/>
          <cell r="AY163"/>
          <cell r="AZ163"/>
          <cell r="BA163"/>
          <cell r="BB163"/>
          <cell r="BC163"/>
          <cell r="BD163"/>
          <cell r="BE163"/>
        </row>
        <row r="164">
          <cell r="C164">
            <v>0</v>
          </cell>
          <cell r="D164">
            <v>0</v>
          </cell>
          <cell r="E164">
            <v>0</v>
          </cell>
          <cell r="F164">
            <v>0</v>
          </cell>
          <cell r="G164">
            <v>0</v>
          </cell>
          <cell r="H164">
            <v>0</v>
          </cell>
          <cell r="I164"/>
          <cell r="J164"/>
          <cell r="K164"/>
          <cell r="L164"/>
          <cell r="M164"/>
          <cell r="N164"/>
          <cell r="O164"/>
          <cell r="P164"/>
          <cell r="Q164"/>
          <cell r="R164"/>
          <cell r="S164"/>
          <cell r="T164"/>
          <cell r="U164"/>
          <cell r="V164"/>
          <cell r="W164"/>
          <cell r="X164"/>
          <cell r="Y164"/>
          <cell r="Z164"/>
          <cell r="AA164"/>
          <cell r="AB164"/>
          <cell r="AF164">
            <v>0</v>
          </cell>
          <cell r="AG164">
            <v>0</v>
          </cell>
          <cell r="AH164">
            <v>0</v>
          </cell>
          <cell r="AI164">
            <v>0</v>
          </cell>
          <cell r="AJ164">
            <v>0</v>
          </cell>
          <cell r="AK164">
            <v>0</v>
          </cell>
          <cell r="AL164"/>
          <cell r="AM164"/>
          <cell r="AN164"/>
          <cell r="AO164"/>
          <cell r="AP164"/>
          <cell r="AQ164"/>
          <cell r="AR164"/>
          <cell r="AS164"/>
          <cell r="AT164"/>
          <cell r="AU164"/>
          <cell r="AV164"/>
          <cell r="AW164"/>
          <cell r="AX164"/>
          <cell r="AY164"/>
          <cell r="AZ164"/>
          <cell r="BA164"/>
          <cell r="BB164"/>
          <cell r="BC164"/>
          <cell r="BD164"/>
          <cell r="BE164"/>
        </row>
        <row r="165">
          <cell r="C165">
            <v>0</v>
          </cell>
          <cell r="D165">
            <v>0</v>
          </cell>
          <cell r="E165">
            <v>0</v>
          </cell>
          <cell r="F165">
            <v>0</v>
          </cell>
          <cell r="G165">
            <v>0</v>
          </cell>
          <cell r="H165">
            <v>0</v>
          </cell>
          <cell r="I165"/>
          <cell r="J165"/>
          <cell r="K165"/>
          <cell r="L165"/>
          <cell r="M165"/>
          <cell r="N165"/>
          <cell r="O165"/>
          <cell r="P165"/>
          <cell r="Q165"/>
          <cell r="R165"/>
          <cell r="S165"/>
          <cell r="T165"/>
          <cell r="U165"/>
          <cell r="V165"/>
          <cell r="W165"/>
          <cell r="X165"/>
          <cell r="Y165"/>
          <cell r="Z165"/>
          <cell r="AA165"/>
          <cell r="AB165"/>
          <cell r="AF165">
            <v>0</v>
          </cell>
          <cell r="AG165">
            <v>0</v>
          </cell>
          <cell r="AH165">
            <v>0</v>
          </cell>
          <cell r="AI165">
            <v>0</v>
          </cell>
          <cell r="AJ165">
            <v>0</v>
          </cell>
          <cell r="AK165">
            <v>0</v>
          </cell>
          <cell r="AL165"/>
          <cell r="AM165"/>
          <cell r="AN165"/>
          <cell r="AO165"/>
          <cell r="AP165"/>
          <cell r="AQ165"/>
          <cell r="AR165"/>
          <cell r="AS165"/>
          <cell r="AT165"/>
          <cell r="AU165"/>
          <cell r="AV165"/>
          <cell r="AW165"/>
          <cell r="AX165"/>
          <cell r="AY165"/>
          <cell r="AZ165"/>
          <cell r="BA165"/>
          <cell r="BB165"/>
          <cell r="BC165"/>
          <cell r="BD165"/>
          <cell r="BE165"/>
        </row>
        <row r="166">
          <cell r="C166">
            <v>0</v>
          </cell>
          <cell r="D166">
            <v>0</v>
          </cell>
          <cell r="E166">
            <v>0</v>
          </cell>
          <cell r="F166">
            <v>0</v>
          </cell>
          <cell r="G166">
            <v>0</v>
          </cell>
          <cell r="H166">
            <v>0</v>
          </cell>
          <cell r="I166"/>
          <cell r="J166"/>
          <cell r="K166"/>
          <cell r="L166"/>
          <cell r="M166"/>
          <cell r="N166"/>
          <cell r="O166"/>
          <cell r="P166"/>
          <cell r="Q166"/>
          <cell r="R166"/>
          <cell r="S166"/>
          <cell r="T166"/>
          <cell r="U166"/>
          <cell r="V166"/>
          <cell r="W166"/>
          <cell r="X166"/>
          <cell r="Y166"/>
          <cell r="Z166"/>
          <cell r="AA166"/>
          <cell r="AB166"/>
          <cell r="AF166">
            <v>0</v>
          </cell>
          <cell r="AG166">
            <v>0</v>
          </cell>
          <cell r="AH166">
            <v>0</v>
          </cell>
          <cell r="AI166">
            <v>0</v>
          </cell>
          <cell r="AJ166">
            <v>0</v>
          </cell>
          <cell r="AK166">
            <v>0</v>
          </cell>
          <cell r="AL166"/>
          <cell r="AM166"/>
          <cell r="AN166"/>
          <cell r="AO166"/>
          <cell r="AP166"/>
          <cell r="AQ166"/>
          <cell r="AR166"/>
          <cell r="AS166"/>
          <cell r="AT166"/>
          <cell r="AU166"/>
          <cell r="AV166"/>
          <cell r="AW166"/>
          <cell r="AX166"/>
          <cell r="AY166"/>
          <cell r="AZ166"/>
          <cell r="BA166"/>
          <cell r="BB166"/>
          <cell r="BC166"/>
          <cell r="BD166"/>
          <cell r="BE166"/>
        </row>
        <row r="167">
          <cell r="C167">
            <v>0</v>
          </cell>
          <cell r="D167">
            <v>0</v>
          </cell>
          <cell r="E167">
            <v>0</v>
          </cell>
          <cell r="F167">
            <v>0</v>
          </cell>
          <cell r="G167">
            <v>0</v>
          </cell>
          <cell r="H167">
            <v>0</v>
          </cell>
          <cell r="I167"/>
          <cell r="J167"/>
          <cell r="K167"/>
          <cell r="L167"/>
          <cell r="M167"/>
          <cell r="N167"/>
          <cell r="O167"/>
          <cell r="P167"/>
          <cell r="Q167"/>
          <cell r="R167"/>
          <cell r="S167"/>
          <cell r="T167"/>
          <cell r="U167"/>
          <cell r="V167"/>
          <cell r="W167"/>
          <cell r="X167"/>
          <cell r="Y167"/>
          <cell r="Z167"/>
          <cell r="AA167"/>
          <cell r="AB167"/>
          <cell r="AF167">
            <v>0</v>
          </cell>
          <cell r="AG167">
            <v>0</v>
          </cell>
          <cell r="AH167">
            <v>0</v>
          </cell>
          <cell r="AI167">
            <v>0</v>
          </cell>
          <cell r="AJ167">
            <v>0</v>
          </cell>
          <cell r="AK167">
            <v>0</v>
          </cell>
          <cell r="AL167"/>
          <cell r="AM167"/>
          <cell r="AN167"/>
          <cell r="AO167"/>
          <cell r="AP167"/>
          <cell r="AQ167"/>
          <cell r="AR167"/>
          <cell r="AS167"/>
          <cell r="AT167"/>
          <cell r="AU167"/>
          <cell r="AV167"/>
          <cell r="AW167"/>
          <cell r="AX167"/>
          <cell r="AY167"/>
          <cell r="AZ167"/>
          <cell r="BA167"/>
          <cell r="BB167"/>
          <cell r="BC167"/>
          <cell r="BD167"/>
          <cell r="BE167"/>
        </row>
        <row r="168">
          <cell r="C168">
            <v>0</v>
          </cell>
          <cell r="D168">
            <v>0</v>
          </cell>
          <cell r="E168">
            <v>0</v>
          </cell>
          <cell r="F168">
            <v>0</v>
          </cell>
          <cell r="G168">
            <v>0</v>
          </cell>
          <cell r="H168">
            <v>0</v>
          </cell>
          <cell r="I168"/>
          <cell r="J168"/>
          <cell r="K168"/>
          <cell r="L168"/>
          <cell r="M168"/>
          <cell r="N168"/>
          <cell r="O168"/>
          <cell r="P168"/>
          <cell r="Q168"/>
          <cell r="R168"/>
          <cell r="S168"/>
          <cell r="T168"/>
          <cell r="U168"/>
          <cell r="V168"/>
          <cell r="W168"/>
          <cell r="X168"/>
          <cell r="Y168"/>
          <cell r="Z168"/>
          <cell r="AA168"/>
          <cell r="AB168"/>
          <cell r="AF168">
            <v>0</v>
          </cell>
          <cell r="AG168">
            <v>0</v>
          </cell>
          <cell r="AH168">
            <v>0</v>
          </cell>
          <cell r="AI168">
            <v>0</v>
          </cell>
          <cell r="AJ168">
            <v>0</v>
          </cell>
          <cell r="AK168">
            <v>0</v>
          </cell>
          <cell r="AL168"/>
          <cell r="AM168"/>
          <cell r="AN168"/>
          <cell r="AO168"/>
          <cell r="AP168"/>
          <cell r="AQ168"/>
          <cell r="AR168"/>
          <cell r="AS168"/>
          <cell r="AT168"/>
          <cell r="AU168"/>
          <cell r="AV168"/>
          <cell r="AW168"/>
          <cell r="AX168"/>
          <cell r="AY168"/>
          <cell r="AZ168"/>
          <cell r="BA168"/>
          <cell r="BB168"/>
          <cell r="BC168"/>
          <cell r="BD168"/>
          <cell r="BE168"/>
        </row>
        <row r="169">
          <cell r="C169">
            <v>0</v>
          </cell>
          <cell r="D169">
            <v>0</v>
          </cell>
          <cell r="E169">
            <v>0</v>
          </cell>
          <cell r="F169">
            <v>0</v>
          </cell>
          <cell r="G169">
            <v>0</v>
          </cell>
          <cell r="H169">
            <v>0</v>
          </cell>
          <cell r="I169"/>
          <cell r="J169"/>
          <cell r="K169"/>
          <cell r="L169"/>
          <cell r="M169"/>
          <cell r="N169"/>
          <cell r="O169"/>
          <cell r="P169"/>
          <cell r="Q169"/>
          <cell r="R169"/>
          <cell r="S169"/>
          <cell r="T169"/>
          <cell r="U169"/>
          <cell r="V169"/>
          <cell r="W169"/>
          <cell r="X169"/>
          <cell r="Y169"/>
          <cell r="Z169"/>
          <cell r="AA169"/>
          <cell r="AB169"/>
          <cell r="AF169">
            <v>0</v>
          </cell>
          <cell r="AG169">
            <v>0</v>
          </cell>
          <cell r="AH169">
            <v>0</v>
          </cell>
          <cell r="AI169">
            <v>0</v>
          </cell>
          <cell r="AJ169">
            <v>0</v>
          </cell>
          <cell r="AK169">
            <v>0</v>
          </cell>
          <cell r="AL169"/>
          <cell r="AM169"/>
          <cell r="AN169"/>
          <cell r="AO169"/>
          <cell r="AP169"/>
          <cell r="AQ169"/>
          <cell r="AR169"/>
          <cell r="AS169"/>
          <cell r="AT169"/>
          <cell r="AU169"/>
          <cell r="AV169"/>
          <cell r="AW169"/>
          <cell r="AX169"/>
          <cell r="AY169"/>
          <cell r="AZ169"/>
          <cell r="BA169"/>
          <cell r="BB169"/>
          <cell r="BC169"/>
          <cell r="BD169"/>
          <cell r="BE169"/>
        </row>
        <row r="170">
          <cell r="C170">
            <v>0</v>
          </cell>
          <cell r="D170">
            <v>0</v>
          </cell>
          <cell r="E170">
            <v>0</v>
          </cell>
          <cell r="F170">
            <v>0</v>
          </cell>
          <cell r="G170">
            <v>0</v>
          </cell>
          <cell r="H170">
            <v>0</v>
          </cell>
          <cell r="I170"/>
          <cell r="J170"/>
          <cell r="K170"/>
          <cell r="L170"/>
          <cell r="M170"/>
          <cell r="N170"/>
          <cell r="O170"/>
          <cell r="P170"/>
          <cell r="Q170"/>
          <cell r="R170"/>
          <cell r="S170"/>
          <cell r="T170"/>
          <cell r="U170"/>
          <cell r="V170"/>
          <cell r="W170"/>
          <cell r="X170"/>
          <cell r="Y170"/>
          <cell r="Z170"/>
          <cell r="AA170"/>
          <cell r="AB170"/>
          <cell r="AF170">
            <v>0</v>
          </cell>
          <cell r="AG170">
            <v>0</v>
          </cell>
          <cell r="AH170">
            <v>0</v>
          </cell>
          <cell r="AI170">
            <v>0</v>
          </cell>
          <cell r="AJ170">
            <v>0</v>
          </cell>
          <cell r="AK170">
            <v>0</v>
          </cell>
          <cell r="AL170"/>
          <cell r="AM170"/>
          <cell r="AN170"/>
          <cell r="AO170"/>
          <cell r="AP170"/>
          <cell r="AQ170"/>
          <cell r="AR170"/>
          <cell r="AS170"/>
          <cell r="AT170"/>
          <cell r="AU170"/>
          <cell r="AV170"/>
          <cell r="AW170"/>
          <cell r="AX170"/>
          <cell r="AY170"/>
          <cell r="AZ170"/>
          <cell r="BA170"/>
          <cell r="BB170"/>
          <cell r="BC170"/>
          <cell r="BD170"/>
          <cell r="BE170"/>
        </row>
        <row r="171">
          <cell r="C171">
            <v>0</v>
          </cell>
          <cell r="D171">
            <v>0</v>
          </cell>
          <cell r="E171">
            <v>0</v>
          </cell>
          <cell r="F171">
            <v>0</v>
          </cell>
          <cell r="G171">
            <v>0</v>
          </cell>
          <cell r="H171">
            <v>0</v>
          </cell>
          <cell r="I171"/>
          <cell r="J171"/>
          <cell r="K171"/>
          <cell r="L171"/>
          <cell r="M171"/>
          <cell r="N171"/>
          <cell r="O171"/>
          <cell r="P171"/>
          <cell r="Q171"/>
          <cell r="R171"/>
          <cell r="S171"/>
          <cell r="T171"/>
          <cell r="U171"/>
          <cell r="V171"/>
          <cell r="W171"/>
          <cell r="X171"/>
          <cell r="Y171"/>
          <cell r="Z171"/>
          <cell r="AA171"/>
          <cell r="AB171"/>
          <cell r="AF171">
            <v>0</v>
          </cell>
          <cell r="AG171">
            <v>0</v>
          </cell>
          <cell r="AH171">
            <v>0</v>
          </cell>
          <cell r="AI171">
            <v>0</v>
          </cell>
          <cell r="AJ171">
            <v>0</v>
          </cell>
          <cell r="AK171">
            <v>0</v>
          </cell>
          <cell r="AL171"/>
          <cell r="AM171"/>
          <cell r="AN171"/>
          <cell r="AO171"/>
          <cell r="AP171"/>
          <cell r="AQ171"/>
          <cell r="AR171"/>
          <cell r="AS171"/>
          <cell r="AT171"/>
          <cell r="AU171"/>
          <cell r="AV171"/>
          <cell r="AW171"/>
          <cell r="AX171"/>
          <cell r="AY171"/>
          <cell r="AZ171"/>
          <cell r="BA171"/>
          <cell r="BB171"/>
          <cell r="BC171"/>
          <cell r="BD171"/>
          <cell r="BE171"/>
        </row>
        <row r="172">
          <cell r="C172">
            <v>0</v>
          </cell>
          <cell r="D172">
            <v>0</v>
          </cell>
          <cell r="E172">
            <v>0</v>
          </cell>
          <cell r="F172">
            <v>0</v>
          </cell>
          <cell r="G172">
            <v>0</v>
          </cell>
          <cell r="H172">
            <v>0</v>
          </cell>
          <cell r="I172"/>
          <cell r="J172"/>
          <cell r="K172"/>
          <cell r="L172"/>
          <cell r="M172"/>
          <cell r="N172"/>
          <cell r="O172"/>
          <cell r="P172"/>
          <cell r="Q172"/>
          <cell r="R172"/>
          <cell r="S172"/>
          <cell r="T172"/>
          <cell r="U172"/>
          <cell r="V172"/>
          <cell r="W172"/>
          <cell r="X172"/>
          <cell r="Y172"/>
          <cell r="Z172"/>
          <cell r="AA172"/>
          <cell r="AB172"/>
          <cell r="AF172">
            <v>1</v>
          </cell>
          <cell r="AG172">
            <v>0</v>
          </cell>
          <cell r="AH172">
            <v>1</v>
          </cell>
          <cell r="AI172">
            <v>0</v>
          </cell>
          <cell r="AJ172">
            <v>0</v>
          </cell>
          <cell r="AK172">
            <v>0</v>
          </cell>
          <cell r="AL172"/>
          <cell r="AM172"/>
          <cell r="AN172"/>
          <cell r="AO172"/>
          <cell r="AP172"/>
          <cell r="AQ172"/>
          <cell r="AR172"/>
          <cell r="AS172"/>
          <cell r="AT172"/>
          <cell r="AU172"/>
          <cell r="AV172"/>
          <cell r="AW172"/>
          <cell r="AX172"/>
          <cell r="AY172"/>
          <cell r="AZ172"/>
          <cell r="BA172"/>
          <cell r="BB172"/>
          <cell r="BC172"/>
          <cell r="BD172"/>
          <cell r="BE172"/>
        </row>
        <row r="173">
          <cell r="C173">
            <v>0</v>
          </cell>
          <cell r="D173">
            <v>0</v>
          </cell>
          <cell r="E173">
            <v>0</v>
          </cell>
          <cell r="F173">
            <v>0</v>
          </cell>
          <cell r="G173">
            <v>0</v>
          </cell>
          <cell r="H173">
            <v>0</v>
          </cell>
          <cell r="I173"/>
          <cell r="J173"/>
          <cell r="K173"/>
          <cell r="L173"/>
          <cell r="M173"/>
          <cell r="N173"/>
          <cell r="O173"/>
          <cell r="P173"/>
          <cell r="Q173"/>
          <cell r="R173"/>
          <cell r="S173"/>
          <cell r="T173"/>
          <cell r="U173"/>
          <cell r="V173"/>
          <cell r="W173"/>
          <cell r="X173"/>
          <cell r="Y173"/>
          <cell r="Z173"/>
          <cell r="AA173"/>
          <cell r="AB173"/>
          <cell r="AF173">
            <v>0</v>
          </cell>
          <cell r="AG173">
            <v>0</v>
          </cell>
          <cell r="AH173">
            <v>0</v>
          </cell>
          <cell r="AI173">
            <v>0</v>
          </cell>
          <cell r="AJ173">
            <v>0</v>
          </cell>
          <cell r="AK173">
            <v>0</v>
          </cell>
          <cell r="AL173"/>
          <cell r="AM173"/>
          <cell r="AN173"/>
          <cell r="AO173"/>
          <cell r="AP173"/>
          <cell r="AQ173"/>
          <cell r="AR173"/>
          <cell r="AS173"/>
          <cell r="AT173"/>
          <cell r="AU173"/>
          <cell r="AV173"/>
          <cell r="AW173"/>
          <cell r="AX173"/>
          <cell r="AY173"/>
          <cell r="AZ173"/>
          <cell r="BA173"/>
          <cell r="BB173"/>
          <cell r="BC173"/>
          <cell r="BD173"/>
          <cell r="BE173"/>
        </row>
        <row r="174">
          <cell r="C174">
            <v>0</v>
          </cell>
          <cell r="D174">
            <v>0</v>
          </cell>
          <cell r="E174">
            <v>0</v>
          </cell>
          <cell r="F174">
            <v>0</v>
          </cell>
          <cell r="G174">
            <v>0</v>
          </cell>
          <cell r="H174">
            <v>0</v>
          </cell>
          <cell r="I174"/>
          <cell r="J174"/>
          <cell r="K174"/>
          <cell r="L174"/>
          <cell r="M174"/>
          <cell r="N174"/>
          <cell r="O174"/>
          <cell r="P174"/>
          <cell r="Q174"/>
          <cell r="R174"/>
          <cell r="S174"/>
          <cell r="T174"/>
          <cell r="U174"/>
          <cell r="V174"/>
          <cell r="W174"/>
          <cell r="X174"/>
          <cell r="Y174"/>
          <cell r="Z174"/>
          <cell r="AA174"/>
          <cell r="AB174"/>
          <cell r="AF174">
            <v>0</v>
          </cell>
          <cell r="AG174">
            <v>0</v>
          </cell>
          <cell r="AH174">
            <v>0</v>
          </cell>
          <cell r="AI174">
            <v>0</v>
          </cell>
          <cell r="AJ174">
            <v>0</v>
          </cell>
          <cell r="AK174">
            <v>0</v>
          </cell>
          <cell r="AL174"/>
          <cell r="AM174"/>
          <cell r="AN174"/>
          <cell r="AO174"/>
          <cell r="AP174"/>
          <cell r="AQ174"/>
          <cell r="AR174"/>
          <cell r="AS174"/>
          <cell r="AT174"/>
          <cell r="AU174"/>
          <cell r="AV174"/>
          <cell r="AW174"/>
          <cell r="AX174"/>
          <cell r="AY174"/>
          <cell r="AZ174"/>
          <cell r="BA174"/>
          <cell r="BB174"/>
          <cell r="BC174"/>
          <cell r="BD174"/>
          <cell r="BE174"/>
        </row>
        <row r="175">
          <cell r="C175">
            <v>0</v>
          </cell>
          <cell r="D175">
            <v>0</v>
          </cell>
          <cell r="E175">
            <v>0</v>
          </cell>
          <cell r="F175">
            <v>0</v>
          </cell>
          <cell r="G175">
            <v>0</v>
          </cell>
          <cell r="H175">
            <v>0</v>
          </cell>
          <cell r="I175"/>
          <cell r="J175"/>
          <cell r="K175"/>
          <cell r="L175"/>
          <cell r="M175"/>
          <cell r="N175"/>
          <cell r="O175"/>
          <cell r="P175"/>
          <cell r="Q175"/>
          <cell r="R175"/>
          <cell r="S175"/>
          <cell r="T175"/>
          <cell r="U175"/>
          <cell r="V175"/>
          <cell r="W175"/>
          <cell r="X175"/>
          <cell r="Y175"/>
          <cell r="Z175"/>
          <cell r="AA175"/>
          <cell r="AB175"/>
          <cell r="AF175">
            <v>5</v>
          </cell>
          <cell r="AG175">
            <v>0</v>
          </cell>
          <cell r="AH175">
            <v>5</v>
          </cell>
          <cell r="AI175">
            <v>0</v>
          </cell>
          <cell r="AJ175">
            <v>0</v>
          </cell>
          <cell r="AK175">
            <v>0</v>
          </cell>
          <cell r="AL175"/>
          <cell r="AM175"/>
          <cell r="AN175"/>
          <cell r="AO175"/>
          <cell r="AP175"/>
          <cell r="AQ175"/>
          <cell r="AR175"/>
          <cell r="AS175"/>
          <cell r="AT175"/>
          <cell r="AU175"/>
          <cell r="AV175"/>
          <cell r="AW175"/>
          <cell r="AX175"/>
          <cell r="AY175"/>
          <cell r="AZ175"/>
          <cell r="BA175"/>
          <cell r="BB175"/>
          <cell r="BC175"/>
          <cell r="BD175"/>
          <cell r="BE175"/>
        </row>
        <row r="176">
          <cell r="C176">
            <v>0</v>
          </cell>
          <cell r="D176">
            <v>0</v>
          </cell>
          <cell r="E176">
            <v>0</v>
          </cell>
          <cell r="F176">
            <v>0</v>
          </cell>
          <cell r="G176">
            <v>0</v>
          </cell>
          <cell r="H176">
            <v>0</v>
          </cell>
          <cell r="I176"/>
          <cell r="J176"/>
          <cell r="K176"/>
          <cell r="L176"/>
          <cell r="M176"/>
          <cell r="N176"/>
          <cell r="O176"/>
          <cell r="P176"/>
          <cell r="Q176"/>
          <cell r="R176"/>
          <cell r="S176"/>
          <cell r="T176"/>
          <cell r="U176"/>
          <cell r="V176"/>
          <cell r="W176"/>
          <cell r="X176"/>
          <cell r="Y176"/>
          <cell r="Z176"/>
          <cell r="AA176"/>
          <cell r="AB176"/>
          <cell r="AF176">
            <v>0</v>
          </cell>
          <cell r="AG176">
            <v>0</v>
          </cell>
          <cell r="AH176">
            <v>0</v>
          </cell>
          <cell r="AI176">
            <v>0</v>
          </cell>
          <cell r="AJ176">
            <v>0</v>
          </cell>
          <cell r="AK176">
            <v>0</v>
          </cell>
          <cell r="AL176"/>
          <cell r="AM176"/>
          <cell r="AN176"/>
          <cell r="AO176"/>
          <cell r="AP176"/>
          <cell r="AQ176"/>
          <cell r="AR176"/>
          <cell r="AS176"/>
          <cell r="AT176"/>
          <cell r="AU176"/>
          <cell r="AV176"/>
          <cell r="AW176"/>
          <cell r="AX176"/>
          <cell r="AY176"/>
          <cell r="AZ176"/>
          <cell r="BA176"/>
          <cell r="BB176"/>
          <cell r="BC176"/>
          <cell r="BD176"/>
          <cell r="BE176"/>
        </row>
        <row r="177">
          <cell r="C177">
            <v>0</v>
          </cell>
          <cell r="D177">
            <v>0</v>
          </cell>
          <cell r="E177">
            <v>0</v>
          </cell>
          <cell r="F177">
            <v>0</v>
          </cell>
          <cell r="G177">
            <v>0</v>
          </cell>
          <cell r="H177">
            <v>0</v>
          </cell>
          <cell r="I177"/>
          <cell r="J177"/>
          <cell r="K177"/>
          <cell r="L177"/>
          <cell r="M177"/>
          <cell r="N177"/>
          <cell r="O177"/>
          <cell r="P177"/>
          <cell r="Q177"/>
          <cell r="R177"/>
          <cell r="S177"/>
          <cell r="T177"/>
          <cell r="U177"/>
          <cell r="V177"/>
          <cell r="W177"/>
          <cell r="X177"/>
          <cell r="Y177"/>
          <cell r="Z177"/>
          <cell r="AA177"/>
          <cell r="AB177"/>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row>
        <row r="178">
          <cell r="C178">
            <v>0</v>
          </cell>
          <cell r="D178">
            <v>0</v>
          </cell>
          <cell r="E178">
            <v>0</v>
          </cell>
          <cell r="F178">
            <v>0</v>
          </cell>
          <cell r="G178">
            <v>0</v>
          </cell>
          <cell r="H178">
            <v>0</v>
          </cell>
          <cell r="I178"/>
          <cell r="J178"/>
          <cell r="K178"/>
          <cell r="L178"/>
          <cell r="M178"/>
          <cell r="N178"/>
          <cell r="O178"/>
          <cell r="P178"/>
          <cell r="Q178"/>
          <cell r="R178"/>
          <cell r="S178"/>
          <cell r="T178"/>
          <cell r="U178"/>
          <cell r="V178"/>
          <cell r="W178"/>
          <cell r="X178"/>
          <cell r="Y178"/>
          <cell r="Z178"/>
          <cell r="AA178"/>
          <cell r="AB178"/>
          <cell r="AF178">
            <v>0</v>
          </cell>
          <cell r="AG178">
            <v>0</v>
          </cell>
          <cell r="AH178">
            <v>0</v>
          </cell>
          <cell r="AI178">
            <v>0</v>
          </cell>
          <cell r="AJ178">
            <v>0</v>
          </cell>
          <cell r="AK178">
            <v>0</v>
          </cell>
          <cell r="AL178"/>
          <cell r="AM178"/>
          <cell r="AN178"/>
          <cell r="AO178"/>
          <cell r="AP178"/>
          <cell r="AQ178"/>
          <cell r="AR178"/>
          <cell r="AS178"/>
          <cell r="AT178"/>
          <cell r="AU178"/>
          <cell r="AV178"/>
          <cell r="AW178"/>
          <cell r="AX178"/>
          <cell r="AY178"/>
          <cell r="AZ178"/>
          <cell r="BA178"/>
          <cell r="BB178"/>
          <cell r="BC178"/>
          <cell r="BD178"/>
          <cell r="BE178"/>
        </row>
        <row r="179">
          <cell r="C179">
            <v>0</v>
          </cell>
          <cell r="D179">
            <v>0</v>
          </cell>
          <cell r="E179">
            <v>0</v>
          </cell>
          <cell r="F179">
            <v>0</v>
          </cell>
          <cell r="G179">
            <v>0</v>
          </cell>
          <cell r="H179">
            <v>0</v>
          </cell>
          <cell r="I179"/>
          <cell r="J179"/>
          <cell r="K179"/>
          <cell r="L179"/>
          <cell r="M179"/>
          <cell r="N179"/>
          <cell r="O179"/>
          <cell r="P179"/>
          <cell r="Q179"/>
          <cell r="R179"/>
          <cell r="S179"/>
          <cell r="T179"/>
          <cell r="U179"/>
          <cell r="V179"/>
          <cell r="W179"/>
          <cell r="X179"/>
          <cell r="Y179"/>
          <cell r="Z179"/>
          <cell r="AA179"/>
          <cell r="AB179"/>
          <cell r="AF179">
            <v>0</v>
          </cell>
          <cell r="AG179">
            <v>0</v>
          </cell>
          <cell r="AH179">
            <v>0</v>
          </cell>
          <cell r="AI179">
            <v>0</v>
          </cell>
          <cell r="AJ179">
            <v>0</v>
          </cell>
          <cell r="AK179">
            <v>0</v>
          </cell>
          <cell r="AL179"/>
          <cell r="AM179"/>
          <cell r="AN179"/>
          <cell r="AO179"/>
          <cell r="AP179"/>
          <cell r="AQ179"/>
          <cell r="AR179"/>
          <cell r="AS179"/>
          <cell r="AT179"/>
          <cell r="AU179"/>
          <cell r="AV179"/>
          <cell r="AW179"/>
          <cell r="AX179"/>
          <cell r="AY179"/>
          <cell r="AZ179"/>
          <cell r="BA179"/>
          <cell r="BB179"/>
          <cell r="BC179"/>
          <cell r="BD179"/>
          <cell r="BE179"/>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cell r="J207"/>
          <cell r="K207"/>
          <cell r="L207"/>
          <cell r="M207"/>
          <cell r="N207"/>
          <cell r="O207">
            <v>0</v>
          </cell>
          <cell r="P207"/>
          <cell r="Q207">
            <v>1</v>
          </cell>
          <cell r="R207">
            <v>1</v>
          </cell>
          <cell r="S207"/>
          <cell r="T207"/>
          <cell r="U207"/>
          <cell r="V207">
            <v>2</v>
          </cell>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row>
        <row r="208">
          <cell r="B208">
            <v>0</v>
          </cell>
          <cell r="C208">
            <v>0</v>
          </cell>
          <cell r="D208">
            <v>0</v>
          </cell>
          <cell r="E208">
            <v>0</v>
          </cell>
          <cell r="F208">
            <v>0</v>
          </cell>
          <cell r="G208">
            <v>0</v>
          </cell>
          <cell r="H208">
            <v>0</v>
          </cell>
          <cell r="I208"/>
          <cell r="J208"/>
          <cell r="K208"/>
          <cell r="L208"/>
          <cell r="M208"/>
          <cell r="N208"/>
          <cell r="O208">
            <v>0</v>
          </cell>
          <cell r="P208"/>
          <cell r="Q208"/>
          <cell r="R208"/>
          <cell r="S208"/>
          <cell r="T208"/>
          <cell r="U208"/>
          <cell r="V208">
            <v>0</v>
          </cell>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row>
        <row r="209">
          <cell r="B209">
            <v>1</v>
          </cell>
          <cell r="C209">
            <v>0</v>
          </cell>
          <cell r="D209">
            <v>0</v>
          </cell>
          <cell r="E209">
            <v>0</v>
          </cell>
          <cell r="F209">
            <v>0</v>
          </cell>
          <cell r="G209">
            <v>0</v>
          </cell>
          <cell r="H209">
            <v>1</v>
          </cell>
          <cell r="I209">
            <v>1</v>
          </cell>
          <cell r="J209"/>
          <cell r="K209"/>
          <cell r="L209"/>
          <cell r="M209"/>
          <cell r="N209"/>
          <cell r="O209">
            <v>1</v>
          </cell>
          <cell r="P209"/>
          <cell r="Q209"/>
          <cell r="R209"/>
          <cell r="S209"/>
          <cell r="T209"/>
          <cell r="U209"/>
          <cell r="V209">
            <v>0</v>
          </cell>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row>
        <row r="210">
          <cell r="B210">
            <v>0</v>
          </cell>
          <cell r="C210">
            <v>0</v>
          </cell>
          <cell r="D210">
            <v>0</v>
          </cell>
          <cell r="E210">
            <v>0</v>
          </cell>
          <cell r="F210">
            <v>0</v>
          </cell>
          <cell r="G210">
            <v>0</v>
          </cell>
          <cell r="H210">
            <v>0</v>
          </cell>
          <cell r="I210"/>
          <cell r="J210"/>
          <cell r="K210"/>
          <cell r="L210"/>
          <cell r="M210"/>
          <cell r="N210"/>
          <cell r="O210">
            <v>0</v>
          </cell>
          <cell r="P210"/>
          <cell r="Q210"/>
          <cell r="R210"/>
          <cell r="S210"/>
          <cell r="T210"/>
          <cell r="U210"/>
          <cell r="V210">
            <v>0</v>
          </cell>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row>
        <row r="211">
          <cell r="B211">
            <v>0</v>
          </cell>
          <cell r="C211">
            <v>0</v>
          </cell>
          <cell r="D211">
            <v>1</v>
          </cell>
          <cell r="E211">
            <v>0</v>
          </cell>
          <cell r="F211">
            <v>0</v>
          </cell>
          <cell r="G211">
            <v>0</v>
          </cell>
          <cell r="H211">
            <v>1</v>
          </cell>
          <cell r="I211"/>
          <cell r="J211"/>
          <cell r="K211">
            <v>1</v>
          </cell>
          <cell r="L211"/>
          <cell r="M211"/>
          <cell r="N211"/>
          <cell r="O211">
            <v>1</v>
          </cell>
          <cell r="P211"/>
          <cell r="Q211"/>
          <cell r="R211"/>
          <cell r="S211"/>
          <cell r="T211"/>
          <cell r="U211"/>
          <cell r="V211">
            <v>0</v>
          </cell>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row>
        <row r="212">
          <cell r="B212">
            <v>0</v>
          </cell>
          <cell r="C212">
            <v>0</v>
          </cell>
          <cell r="D212">
            <v>1</v>
          </cell>
          <cell r="E212">
            <v>1</v>
          </cell>
          <cell r="F212">
            <v>0</v>
          </cell>
          <cell r="G212">
            <v>1</v>
          </cell>
          <cell r="H212">
            <v>3</v>
          </cell>
          <cell r="I212"/>
          <cell r="J212"/>
          <cell r="K212"/>
          <cell r="L212">
            <v>1</v>
          </cell>
          <cell r="M212"/>
          <cell r="N212"/>
          <cell r="O212">
            <v>1</v>
          </cell>
          <cell r="P212"/>
          <cell r="Q212"/>
          <cell r="R212">
            <v>1</v>
          </cell>
          <cell r="S212"/>
          <cell r="T212"/>
          <cell r="U212">
            <v>1</v>
          </cell>
          <cell r="V212">
            <v>2</v>
          </cell>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row>
        <row r="213">
          <cell r="B213">
            <v>1</v>
          </cell>
          <cell r="C213">
            <v>1</v>
          </cell>
          <cell r="D213">
            <v>0</v>
          </cell>
          <cell r="E213">
            <v>0</v>
          </cell>
          <cell r="F213">
            <v>1</v>
          </cell>
          <cell r="G213">
            <v>0</v>
          </cell>
          <cell r="H213">
            <v>3</v>
          </cell>
          <cell r="I213">
            <v>1</v>
          </cell>
          <cell r="J213"/>
          <cell r="K213"/>
          <cell r="L213"/>
          <cell r="M213"/>
          <cell r="N213"/>
          <cell r="O213">
            <v>1</v>
          </cell>
          <cell r="P213"/>
          <cell r="Q213">
            <v>1</v>
          </cell>
          <cell r="R213"/>
          <cell r="S213"/>
          <cell r="T213">
            <v>1</v>
          </cell>
          <cell r="U213"/>
          <cell r="V213">
            <v>2</v>
          </cell>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row>
        <row r="214">
          <cell r="B214">
            <v>0</v>
          </cell>
          <cell r="C214">
            <v>0</v>
          </cell>
          <cell r="D214">
            <v>0</v>
          </cell>
          <cell r="E214">
            <v>0</v>
          </cell>
          <cell r="F214">
            <v>0</v>
          </cell>
          <cell r="G214">
            <v>0</v>
          </cell>
          <cell r="H214">
            <v>0</v>
          </cell>
          <cell r="I214"/>
          <cell r="J214"/>
          <cell r="K214"/>
          <cell r="L214"/>
          <cell r="M214"/>
          <cell r="N214"/>
          <cell r="O214">
            <v>0</v>
          </cell>
          <cell r="P214"/>
          <cell r="Q214"/>
          <cell r="R214"/>
          <cell r="S214"/>
          <cell r="T214"/>
          <cell r="U214"/>
          <cell r="V214">
            <v>0</v>
          </cell>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row>
        <row r="215">
          <cell r="B215">
            <v>0</v>
          </cell>
          <cell r="C215">
            <v>0</v>
          </cell>
          <cell r="D215">
            <v>0</v>
          </cell>
          <cell r="E215">
            <v>0</v>
          </cell>
          <cell r="F215">
            <v>0</v>
          </cell>
          <cell r="G215">
            <v>0</v>
          </cell>
          <cell r="H215">
            <v>0</v>
          </cell>
          <cell r="I215"/>
          <cell r="J215"/>
          <cell r="K215"/>
          <cell r="L215"/>
          <cell r="M215"/>
          <cell r="N215"/>
          <cell r="O215">
            <v>0</v>
          </cell>
          <cell r="P215"/>
          <cell r="Q215"/>
          <cell r="R215"/>
          <cell r="S215"/>
          <cell r="T215"/>
          <cell r="U215"/>
          <cell r="V215">
            <v>0</v>
          </cell>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row>
        <row r="216">
          <cell r="B216">
            <v>0</v>
          </cell>
          <cell r="C216">
            <v>0</v>
          </cell>
          <cell r="D216">
            <v>0</v>
          </cell>
          <cell r="E216">
            <v>0</v>
          </cell>
          <cell r="F216">
            <v>0</v>
          </cell>
          <cell r="G216">
            <v>0</v>
          </cell>
          <cell r="H216">
            <v>0</v>
          </cell>
          <cell r="I216"/>
          <cell r="J216"/>
          <cell r="K216"/>
          <cell r="L216"/>
          <cell r="M216"/>
          <cell r="N216"/>
          <cell r="O216">
            <v>0</v>
          </cell>
          <cell r="P216"/>
          <cell r="Q216"/>
          <cell r="R216"/>
          <cell r="S216"/>
          <cell r="T216"/>
          <cell r="U216"/>
          <cell r="V216">
            <v>0</v>
          </cell>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row>
        <row r="217">
          <cell r="B217">
            <v>0</v>
          </cell>
          <cell r="C217">
            <v>0</v>
          </cell>
          <cell r="D217">
            <v>1</v>
          </cell>
          <cell r="E217">
            <v>1</v>
          </cell>
          <cell r="F217">
            <v>0</v>
          </cell>
          <cell r="G217">
            <v>0</v>
          </cell>
          <cell r="H217">
            <v>2</v>
          </cell>
          <cell r="I217"/>
          <cell r="J217"/>
          <cell r="K217">
            <v>1</v>
          </cell>
          <cell r="L217"/>
          <cell r="M217"/>
          <cell r="N217"/>
          <cell r="O217">
            <v>1</v>
          </cell>
          <cell r="P217"/>
          <cell r="Q217"/>
          <cell r="R217"/>
          <cell r="S217">
            <v>1</v>
          </cell>
          <cell r="T217"/>
          <cell r="U217"/>
          <cell r="V217">
            <v>1</v>
          </cell>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row>
        <row r="218">
          <cell r="B218">
            <v>0</v>
          </cell>
          <cell r="C218">
            <v>1</v>
          </cell>
          <cell r="D218">
            <v>0</v>
          </cell>
          <cell r="E218">
            <v>0</v>
          </cell>
          <cell r="F218">
            <v>0</v>
          </cell>
          <cell r="G218">
            <v>0</v>
          </cell>
          <cell r="H218">
            <v>1</v>
          </cell>
          <cell r="I218"/>
          <cell r="J218"/>
          <cell r="K218"/>
          <cell r="L218"/>
          <cell r="M218"/>
          <cell r="N218"/>
          <cell r="O218">
            <v>0</v>
          </cell>
          <cell r="P218"/>
          <cell r="Q218">
            <v>1</v>
          </cell>
          <cell r="R218"/>
          <cell r="S218"/>
          <cell r="T218"/>
          <cell r="U218"/>
          <cell r="V218">
            <v>1</v>
          </cell>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row>
        <row r="219">
          <cell r="B219">
            <v>0</v>
          </cell>
          <cell r="C219">
            <v>0</v>
          </cell>
          <cell r="D219">
            <v>0</v>
          </cell>
          <cell r="E219">
            <v>0</v>
          </cell>
          <cell r="F219">
            <v>0</v>
          </cell>
          <cell r="G219">
            <v>0</v>
          </cell>
          <cell r="H219">
            <v>0</v>
          </cell>
          <cell r="I219"/>
          <cell r="J219"/>
          <cell r="K219"/>
          <cell r="L219"/>
          <cell r="M219"/>
          <cell r="N219"/>
          <cell r="O219">
            <v>0</v>
          </cell>
          <cell r="P219"/>
          <cell r="Q219"/>
          <cell r="R219"/>
          <cell r="S219"/>
          <cell r="T219"/>
          <cell r="U219"/>
          <cell r="V219">
            <v>0</v>
          </cell>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row>
        <row r="220">
          <cell r="B220">
            <v>2</v>
          </cell>
          <cell r="C220">
            <v>0</v>
          </cell>
          <cell r="D220">
            <v>0</v>
          </cell>
          <cell r="E220">
            <v>0</v>
          </cell>
          <cell r="F220">
            <v>0</v>
          </cell>
          <cell r="G220">
            <v>0</v>
          </cell>
          <cell r="H220">
            <v>2</v>
          </cell>
          <cell r="I220">
            <v>1</v>
          </cell>
          <cell r="J220"/>
          <cell r="K220"/>
          <cell r="L220"/>
          <cell r="M220"/>
          <cell r="N220"/>
          <cell r="O220">
            <v>1</v>
          </cell>
          <cell r="P220">
            <v>1</v>
          </cell>
          <cell r="Q220"/>
          <cell r="R220"/>
          <cell r="S220"/>
          <cell r="T220"/>
          <cell r="U220"/>
          <cell r="V220">
            <v>1</v>
          </cell>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row>
        <row r="221">
          <cell r="B221">
            <v>0</v>
          </cell>
          <cell r="C221">
            <v>0</v>
          </cell>
          <cell r="D221">
            <v>0</v>
          </cell>
          <cell r="E221">
            <v>0</v>
          </cell>
          <cell r="F221">
            <v>0</v>
          </cell>
          <cell r="G221">
            <v>0</v>
          </cell>
          <cell r="H221">
            <v>0</v>
          </cell>
          <cell r="I221"/>
          <cell r="J221"/>
          <cell r="K221"/>
          <cell r="L221"/>
          <cell r="M221"/>
          <cell r="N221"/>
          <cell r="O221">
            <v>0</v>
          </cell>
          <cell r="P221"/>
          <cell r="Q221"/>
          <cell r="R221"/>
          <cell r="S221"/>
          <cell r="T221"/>
          <cell r="U221"/>
          <cell r="V221">
            <v>0</v>
          </cell>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row>
        <row r="222">
          <cell r="B222">
            <v>0</v>
          </cell>
          <cell r="C222">
            <v>0</v>
          </cell>
          <cell r="D222">
            <v>0</v>
          </cell>
          <cell r="E222">
            <v>0</v>
          </cell>
          <cell r="F222">
            <v>0</v>
          </cell>
          <cell r="G222">
            <v>0</v>
          </cell>
          <cell r="H222">
            <v>0</v>
          </cell>
          <cell r="I222"/>
          <cell r="J222"/>
          <cell r="K222"/>
          <cell r="L222"/>
          <cell r="M222"/>
          <cell r="N222"/>
          <cell r="O222">
            <v>0</v>
          </cell>
          <cell r="P222"/>
          <cell r="Q222"/>
          <cell r="R222"/>
          <cell r="S222"/>
          <cell r="T222"/>
          <cell r="U222"/>
          <cell r="V222">
            <v>0</v>
          </cell>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row>
        <row r="223">
          <cell r="B223">
            <v>1</v>
          </cell>
          <cell r="C223">
            <v>0</v>
          </cell>
          <cell r="D223">
            <v>0</v>
          </cell>
          <cell r="E223">
            <v>0</v>
          </cell>
          <cell r="F223">
            <v>0</v>
          </cell>
          <cell r="G223">
            <v>0</v>
          </cell>
          <cell r="H223">
            <v>1</v>
          </cell>
          <cell r="I223"/>
          <cell r="J223"/>
          <cell r="K223"/>
          <cell r="L223"/>
          <cell r="M223"/>
          <cell r="N223"/>
          <cell r="O223">
            <v>0</v>
          </cell>
          <cell r="P223">
            <v>1</v>
          </cell>
          <cell r="Q223"/>
          <cell r="R223"/>
          <cell r="S223"/>
          <cell r="T223"/>
          <cell r="U223"/>
          <cell r="V223">
            <v>1</v>
          </cell>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row>
        <row r="224">
          <cell r="B224">
            <v>0</v>
          </cell>
          <cell r="C224">
            <v>1</v>
          </cell>
          <cell r="D224">
            <v>0</v>
          </cell>
          <cell r="E224">
            <v>0</v>
          </cell>
          <cell r="F224">
            <v>0</v>
          </cell>
          <cell r="G224">
            <v>0</v>
          </cell>
          <cell r="H224">
            <v>1</v>
          </cell>
          <cell r="I224"/>
          <cell r="J224"/>
          <cell r="K224"/>
          <cell r="L224"/>
          <cell r="M224"/>
          <cell r="N224"/>
          <cell r="O224">
            <v>0</v>
          </cell>
          <cell r="P224"/>
          <cell r="Q224">
            <v>1</v>
          </cell>
          <cell r="R224"/>
          <cell r="S224"/>
          <cell r="T224"/>
          <cell r="U224"/>
          <cell r="V224">
            <v>1</v>
          </cell>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row>
        <row r="225">
          <cell r="B225">
            <v>0</v>
          </cell>
          <cell r="C225">
            <v>0</v>
          </cell>
          <cell r="D225">
            <v>0</v>
          </cell>
          <cell r="E225">
            <v>0</v>
          </cell>
          <cell r="F225">
            <v>0</v>
          </cell>
          <cell r="G225">
            <v>0</v>
          </cell>
          <cell r="H225">
            <v>0</v>
          </cell>
          <cell r="I225"/>
          <cell r="J225"/>
          <cell r="K225"/>
          <cell r="L225"/>
          <cell r="M225"/>
          <cell r="N225"/>
          <cell r="O225">
            <v>0</v>
          </cell>
          <cell r="P225"/>
          <cell r="Q225"/>
          <cell r="R225"/>
          <cell r="S225"/>
          <cell r="T225"/>
          <cell r="U225"/>
          <cell r="V225">
            <v>0</v>
          </cell>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row>
        <row r="226">
          <cell r="B226">
            <v>0</v>
          </cell>
          <cell r="C226">
            <v>0</v>
          </cell>
          <cell r="D226">
            <v>0</v>
          </cell>
          <cell r="E226">
            <v>0</v>
          </cell>
          <cell r="F226">
            <v>0</v>
          </cell>
          <cell r="G226">
            <v>0</v>
          </cell>
          <cell r="H226">
            <v>0</v>
          </cell>
          <cell r="I226"/>
          <cell r="J226"/>
          <cell r="K226"/>
          <cell r="L226"/>
          <cell r="M226"/>
          <cell r="N226"/>
          <cell r="O226">
            <v>0</v>
          </cell>
          <cell r="P226"/>
          <cell r="Q226"/>
          <cell r="R226"/>
          <cell r="S226"/>
          <cell r="T226"/>
          <cell r="U226"/>
          <cell r="V226">
            <v>0</v>
          </cell>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row>
        <row r="227">
          <cell r="B227">
            <v>0</v>
          </cell>
          <cell r="C227">
            <v>0</v>
          </cell>
          <cell r="D227">
            <v>0</v>
          </cell>
          <cell r="E227">
            <v>0</v>
          </cell>
          <cell r="F227">
            <v>0</v>
          </cell>
          <cell r="G227">
            <v>0</v>
          </cell>
          <cell r="H227">
            <v>0</v>
          </cell>
          <cell r="I227"/>
          <cell r="J227"/>
          <cell r="K227"/>
          <cell r="L227"/>
          <cell r="M227"/>
          <cell r="N227"/>
          <cell r="O227">
            <v>0</v>
          </cell>
          <cell r="P227"/>
          <cell r="Q227"/>
          <cell r="R227"/>
          <cell r="S227"/>
          <cell r="T227"/>
          <cell r="U227"/>
          <cell r="V227">
            <v>0</v>
          </cell>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row>
        <row r="228">
          <cell r="B228">
            <v>0</v>
          </cell>
          <cell r="C228">
            <v>0</v>
          </cell>
          <cell r="D228">
            <v>0</v>
          </cell>
          <cell r="E228">
            <v>0</v>
          </cell>
          <cell r="F228">
            <v>0</v>
          </cell>
          <cell r="G228">
            <v>0</v>
          </cell>
          <cell r="H228">
            <v>0</v>
          </cell>
          <cell r="I228"/>
          <cell r="J228"/>
          <cell r="K228"/>
          <cell r="L228"/>
          <cell r="M228"/>
          <cell r="N228"/>
          <cell r="O228">
            <v>0</v>
          </cell>
          <cell r="P228"/>
          <cell r="Q228"/>
          <cell r="R228"/>
          <cell r="S228"/>
          <cell r="T228"/>
          <cell r="U228"/>
          <cell r="V228">
            <v>0</v>
          </cell>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row>
        <row r="229">
          <cell r="B229">
            <v>0</v>
          </cell>
          <cell r="C229">
            <v>0</v>
          </cell>
          <cell r="D229">
            <v>0</v>
          </cell>
          <cell r="E229">
            <v>0</v>
          </cell>
          <cell r="F229">
            <v>0</v>
          </cell>
          <cell r="G229">
            <v>0</v>
          </cell>
          <cell r="H229">
            <v>0</v>
          </cell>
          <cell r="I229"/>
          <cell r="J229"/>
          <cell r="K229"/>
          <cell r="L229"/>
          <cell r="M229"/>
          <cell r="N229"/>
          <cell r="O229">
            <v>0</v>
          </cell>
          <cell r="P229"/>
          <cell r="Q229"/>
          <cell r="R229"/>
          <cell r="S229"/>
          <cell r="T229"/>
          <cell r="U229"/>
          <cell r="V229">
            <v>0</v>
          </cell>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cell r="H390"/>
          <cell r="I390"/>
          <cell r="J390"/>
          <cell r="K390"/>
          <cell r="L390"/>
          <cell r="M390"/>
          <cell r="N390"/>
          <cell r="O390"/>
          <cell r="P390"/>
          <cell r="Q390"/>
          <cell r="R390"/>
        </row>
        <row r="391">
          <cell r="G391">
            <v>3</v>
          </cell>
          <cell r="H391"/>
          <cell r="I391"/>
          <cell r="J391"/>
          <cell r="K391"/>
          <cell r="L391"/>
          <cell r="M391"/>
          <cell r="N391"/>
          <cell r="O391"/>
          <cell r="P391"/>
          <cell r="Q391"/>
          <cell r="R391"/>
        </row>
        <row r="392">
          <cell r="G392">
            <v>2</v>
          </cell>
          <cell r="H392"/>
          <cell r="I392"/>
          <cell r="J392"/>
          <cell r="K392"/>
          <cell r="L392"/>
          <cell r="M392"/>
          <cell r="N392"/>
          <cell r="O392"/>
          <cell r="P392"/>
          <cell r="Q392"/>
          <cell r="R392"/>
        </row>
        <row r="393">
          <cell r="G393">
            <v>1</v>
          </cell>
          <cell r="H393"/>
          <cell r="I393"/>
          <cell r="J393"/>
          <cell r="K393"/>
          <cell r="L393"/>
          <cell r="M393"/>
          <cell r="N393"/>
          <cell r="O393"/>
          <cell r="P393"/>
          <cell r="Q393"/>
          <cell r="R393"/>
        </row>
        <row r="394">
          <cell r="G394">
            <v>1</v>
          </cell>
          <cell r="H394"/>
          <cell r="I394"/>
          <cell r="J394"/>
          <cell r="K394"/>
          <cell r="L394"/>
          <cell r="M394"/>
          <cell r="N394"/>
          <cell r="O394"/>
          <cell r="P394"/>
          <cell r="Q394"/>
          <cell r="R394"/>
        </row>
        <row r="395">
          <cell r="G395">
            <v>7</v>
          </cell>
          <cell r="H395">
            <v>0</v>
          </cell>
          <cell r="I395"/>
          <cell r="J395"/>
          <cell r="K395"/>
          <cell r="L395"/>
          <cell r="M395"/>
          <cell r="N395"/>
          <cell r="O395"/>
          <cell r="P395"/>
          <cell r="Q395"/>
          <cell r="R395"/>
        </row>
        <row r="398">
          <cell r="G398"/>
          <cell r="H398"/>
          <cell r="I398"/>
          <cell r="J398"/>
          <cell r="K398"/>
          <cell r="L398"/>
          <cell r="M398"/>
          <cell r="N398"/>
          <cell r="O398"/>
          <cell r="P398"/>
          <cell r="Q398"/>
          <cell r="R398"/>
        </row>
        <row r="399">
          <cell r="G399"/>
          <cell r="H399">
            <v>2</v>
          </cell>
          <cell r="I399"/>
          <cell r="J399"/>
          <cell r="K399"/>
          <cell r="L399"/>
          <cell r="M399"/>
          <cell r="N399"/>
          <cell r="O399"/>
          <cell r="P399"/>
          <cell r="Q399"/>
          <cell r="R399"/>
        </row>
        <row r="400">
          <cell r="G400">
            <v>1</v>
          </cell>
          <cell r="H400"/>
          <cell r="I400"/>
          <cell r="J400"/>
          <cell r="K400"/>
          <cell r="L400"/>
          <cell r="M400"/>
          <cell r="N400"/>
          <cell r="O400"/>
          <cell r="P400"/>
          <cell r="Q400"/>
          <cell r="R400"/>
        </row>
        <row r="401">
          <cell r="G401"/>
          <cell r="H401">
            <v>1</v>
          </cell>
          <cell r="I401"/>
          <cell r="J401"/>
          <cell r="K401"/>
          <cell r="L401"/>
          <cell r="M401"/>
          <cell r="N401"/>
          <cell r="O401"/>
          <cell r="P401"/>
          <cell r="Q401"/>
          <cell r="R401"/>
        </row>
        <row r="402">
          <cell r="G402">
            <v>2</v>
          </cell>
          <cell r="H402"/>
          <cell r="I402"/>
          <cell r="J402"/>
          <cell r="K402"/>
          <cell r="L402"/>
          <cell r="M402"/>
          <cell r="N402"/>
          <cell r="O402"/>
          <cell r="P402"/>
          <cell r="Q402"/>
          <cell r="R402"/>
        </row>
        <row r="403">
          <cell r="G403">
            <v>3</v>
          </cell>
          <cell r="H403">
            <v>3</v>
          </cell>
          <cell r="I403"/>
          <cell r="J403"/>
          <cell r="K403"/>
          <cell r="L403"/>
          <cell r="M403"/>
          <cell r="N403"/>
          <cell r="O403"/>
          <cell r="P403"/>
          <cell r="Q403"/>
          <cell r="R403"/>
        </row>
        <row r="406">
          <cell r="G406"/>
          <cell r="H406">
            <v>1</v>
          </cell>
          <cell r="I406"/>
          <cell r="J406"/>
          <cell r="K406"/>
          <cell r="L406"/>
          <cell r="M406"/>
          <cell r="N406"/>
          <cell r="O406"/>
          <cell r="P406"/>
          <cell r="Q406"/>
          <cell r="R406"/>
        </row>
        <row r="407">
          <cell r="G407">
            <v>11</v>
          </cell>
          <cell r="H407">
            <v>1</v>
          </cell>
          <cell r="I407"/>
          <cell r="J407"/>
          <cell r="K407"/>
          <cell r="L407"/>
          <cell r="M407"/>
          <cell r="N407"/>
          <cell r="O407"/>
          <cell r="P407"/>
          <cell r="Q407"/>
          <cell r="R407"/>
        </row>
        <row r="408">
          <cell r="G408">
            <v>4</v>
          </cell>
          <cell r="H408">
            <v>1</v>
          </cell>
          <cell r="I408"/>
          <cell r="J408"/>
          <cell r="K408"/>
          <cell r="L408"/>
          <cell r="M408"/>
          <cell r="N408"/>
          <cell r="O408"/>
          <cell r="P408"/>
          <cell r="Q408"/>
          <cell r="R408"/>
        </row>
        <row r="409">
          <cell r="G409">
            <v>2</v>
          </cell>
          <cell r="H409">
            <v>6</v>
          </cell>
          <cell r="I409"/>
          <cell r="J409"/>
          <cell r="K409"/>
          <cell r="L409"/>
          <cell r="M409"/>
          <cell r="N409"/>
          <cell r="O409"/>
          <cell r="P409"/>
          <cell r="Q409"/>
          <cell r="R409"/>
        </row>
        <row r="410">
          <cell r="G410">
            <v>4</v>
          </cell>
          <cell r="H410">
            <v>4</v>
          </cell>
          <cell r="I410"/>
          <cell r="J410"/>
          <cell r="K410"/>
          <cell r="L410"/>
          <cell r="M410"/>
          <cell r="N410"/>
          <cell r="O410"/>
          <cell r="P410"/>
          <cell r="Q410"/>
          <cell r="R410"/>
        </row>
        <row r="411">
          <cell r="G411">
            <v>21</v>
          </cell>
          <cell r="H411">
            <v>13</v>
          </cell>
          <cell r="I411"/>
          <cell r="J411"/>
          <cell r="K411"/>
          <cell r="L411"/>
          <cell r="M411"/>
          <cell r="N411"/>
          <cell r="O411"/>
          <cell r="P411"/>
          <cell r="Q411"/>
          <cell r="R411"/>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cell r="C37"/>
          <cell r="D37"/>
          <cell r="E37"/>
          <cell r="F37"/>
          <cell r="G37"/>
          <cell r="H37"/>
          <cell r="I37"/>
          <cell r="J37"/>
          <cell r="K37"/>
          <cell r="L37"/>
          <cell r="M37"/>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cell r="W57"/>
          <cell r="X57"/>
          <cell r="Y57"/>
          <cell r="Z57"/>
          <cell r="AA57"/>
          <cell r="AB57"/>
          <cell r="AC57"/>
          <cell r="AD57"/>
          <cell r="AE57"/>
          <cell r="AF57"/>
          <cell r="AG57"/>
          <cell r="AH57"/>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cell r="W58"/>
          <cell r="X58"/>
          <cell r="Y58"/>
          <cell r="Z58"/>
          <cell r="AA58"/>
          <cell r="AB58"/>
          <cell r="AC58"/>
          <cell r="AD58"/>
          <cell r="AE58"/>
          <cell r="AF58"/>
          <cell r="AG58"/>
          <cell r="AH58"/>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cell r="W59"/>
          <cell r="X59"/>
          <cell r="Y59"/>
          <cell r="Z59"/>
          <cell r="AA59"/>
          <cell r="AB59"/>
          <cell r="AC59"/>
          <cell r="AD59"/>
          <cell r="AE59"/>
          <cell r="AF59"/>
          <cell r="AG59"/>
          <cell r="AH59"/>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cell r="W60"/>
          <cell r="X60"/>
          <cell r="Y60"/>
          <cell r="Z60"/>
          <cell r="AA60"/>
          <cell r="AB60"/>
          <cell r="AC60"/>
          <cell r="AD60"/>
          <cell r="AE60"/>
          <cell r="AF60"/>
          <cell r="AG60"/>
          <cell r="AH60"/>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cell r="W61"/>
          <cell r="X61"/>
          <cell r="Y61"/>
          <cell r="Z61"/>
          <cell r="AA61"/>
          <cell r="AB61"/>
          <cell r="AC61"/>
          <cell r="AD61"/>
          <cell r="AE61"/>
          <cell r="AF61"/>
          <cell r="AG61"/>
          <cell r="AH61"/>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cell r="W68"/>
          <cell r="X68"/>
          <cell r="Y68"/>
          <cell r="Z68"/>
          <cell r="AA68"/>
          <cell r="AB68"/>
          <cell r="AC68"/>
          <cell r="AD68"/>
          <cell r="AE68"/>
          <cell r="AF68"/>
          <cell r="AG68"/>
          <cell r="AH68"/>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cell r="W69"/>
          <cell r="X69"/>
          <cell r="Y69"/>
          <cell r="Z69"/>
          <cell r="AA69"/>
          <cell r="AB69"/>
          <cell r="AC69"/>
          <cell r="AD69"/>
          <cell r="AE69"/>
          <cell r="AF69"/>
          <cell r="AG69"/>
          <cell r="AH69"/>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cell r="W70"/>
          <cell r="X70"/>
          <cell r="Y70"/>
          <cell r="Z70"/>
          <cell r="AA70"/>
          <cell r="AB70"/>
          <cell r="AC70"/>
          <cell r="AD70"/>
          <cell r="AE70"/>
          <cell r="AF70"/>
          <cell r="AG70"/>
          <cell r="AH70"/>
        </row>
        <row r="71">
          <cell r="V71"/>
          <cell r="W71"/>
          <cell r="X71"/>
          <cell r="Y71"/>
          <cell r="Z71"/>
          <cell r="AA71"/>
          <cell r="AB71"/>
          <cell r="AC71"/>
          <cell r="AD71"/>
          <cell r="AE71"/>
          <cell r="AF71"/>
          <cell r="AG71"/>
          <cell r="AH71"/>
        </row>
        <row r="72">
          <cell r="V72"/>
          <cell r="W72"/>
          <cell r="X72"/>
          <cell r="Y72"/>
          <cell r="Z72"/>
          <cell r="AA72"/>
          <cell r="AB72"/>
          <cell r="AC72"/>
          <cell r="AD72"/>
          <cell r="AE72"/>
          <cell r="AF72"/>
          <cell r="AG72"/>
          <cell r="AH72"/>
        </row>
        <row r="73">
          <cell r="V73"/>
          <cell r="W73"/>
          <cell r="X73"/>
          <cell r="Y73"/>
          <cell r="Z73"/>
          <cell r="AA73"/>
          <cell r="AB73"/>
          <cell r="AC73"/>
          <cell r="AD73"/>
          <cell r="AE73"/>
          <cell r="AF73"/>
          <cell r="AG73"/>
          <cell r="AH73"/>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row>
        <row r="78">
          <cell r="V78"/>
          <cell r="W78"/>
          <cell r="X78"/>
          <cell r="Y78"/>
          <cell r="Z78"/>
          <cell r="AA78"/>
          <cell r="AB78"/>
          <cell r="AC78"/>
          <cell r="AD78"/>
          <cell r="AE78"/>
          <cell r="AF78"/>
          <cell r="AG78"/>
          <cell r="AH78"/>
        </row>
        <row r="79">
          <cell r="V79"/>
          <cell r="W79"/>
          <cell r="X79"/>
          <cell r="Y79"/>
          <cell r="Z79"/>
          <cell r="AA79"/>
          <cell r="AB79"/>
          <cell r="AC79"/>
          <cell r="AD79"/>
          <cell r="AE79"/>
          <cell r="AF79"/>
          <cell r="AG79"/>
          <cell r="AH79"/>
        </row>
        <row r="80">
          <cell r="V80"/>
          <cell r="W80"/>
          <cell r="X80"/>
          <cell r="Y80"/>
          <cell r="Z80"/>
          <cell r="AA80"/>
          <cell r="AB80"/>
          <cell r="AC80"/>
          <cell r="AD80"/>
          <cell r="AE80"/>
          <cell r="AF80"/>
          <cell r="AG80"/>
          <cell r="AH80"/>
        </row>
        <row r="81">
          <cell r="V81"/>
          <cell r="W81"/>
          <cell r="X81"/>
          <cell r="Y81"/>
          <cell r="Z81"/>
          <cell r="AA81"/>
          <cell r="AB81"/>
          <cell r="AC81"/>
          <cell r="AD81"/>
          <cell r="AE81"/>
          <cell r="AF81"/>
          <cell r="AG81"/>
          <cell r="AH81"/>
        </row>
        <row r="82">
          <cell r="V82"/>
          <cell r="W82"/>
          <cell r="X82"/>
          <cell r="Y82"/>
          <cell r="Z82"/>
          <cell r="AA82"/>
          <cell r="AB82"/>
          <cell r="AC82"/>
          <cell r="AD82"/>
          <cell r="AE82"/>
          <cell r="AF82"/>
          <cell r="AG82"/>
          <cell r="AH82"/>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Responsables"/>
      <sheetName val="Impuestos (3)"/>
      <sheetName val="Conc. IFRS vs L.Trib"/>
      <sheetName val="Balance 2016"/>
      <sheetName val="Balances 2015"/>
      <sheetName val="Impuestos (2)"/>
      <sheetName val="Impuestos"/>
      <sheetName val="ingra8"/>
      <sheetName val="Colombia CE"/>
      <sheetName val="1A- DATOS INICIALES"/>
      <sheetName val="4 CÁLCULOS PRESUNT-ANTICIP."/>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sheetData sheetId="8"/>
      <sheetData sheetId="9">
        <row r="1">
          <cell r="C1" t="str">
            <v>Página 1 de 1</v>
          </cell>
        </row>
      </sheetData>
      <sheetData sheetId="10"/>
      <sheetData sheetId="11"/>
      <sheetData sheetId="12"/>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2.bin"/><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3.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2.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1.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1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15.bin"/><Relationship Id="rId4"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informeanual.xm.com.co/informe/pages/xm/a-informe-financiero-y-notas.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ri.taesa.com.br/" TargetMode="External"/><Relationship Id="rId1" Type="http://schemas.openxmlformats.org/officeDocument/2006/relationships/hyperlink" Target="https://www.isacteep.com.br/ri/informacoes-financeiras/central-de-resultados" TargetMode="External"/><Relationship Id="rId6" Type="http://schemas.openxmlformats.org/officeDocument/2006/relationships/drawing" Target="../drawings/drawing4.xml"/><Relationship Id="rId5" Type="http://schemas.openxmlformats.org/officeDocument/2006/relationships/customProperty" Target="../customProperty5.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9.bin"/><Relationship Id="rId1" Type="http://schemas.openxmlformats.org/officeDocument/2006/relationships/hyperlink" Target="https://www.cmfchile.cl/sitio/aplic/serdoc/ver_sgd.php?s567=5a42ca1fb24a3382f19a5257b793b814VFdwQmVVMXFRWHBOUkVFMVRWUkJNMDlSUFQwPQ==&amp;secuencia=-1&amp;t=1652711492" TargetMode="External"/><Relationship Id="rId5" Type="http://schemas.openxmlformats.org/officeDocument/2006/relationships/drawing" Target="../drawings/drawing9.xml"/><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B8:P70"/>
  <sheetViews>
    <sheetView showGridLines="0" tabSelected="1" zoomScaleNormal="100" workbookViewId="0">
      <selection activeCell="B15" sqref="B15"/>
    </sheetView>
  </sheetViews>
  <sheetFormatPr baseColWidth="10" defaultColWidth="11.44140625" defaultRowHeight="14.4"/>
  <cols>
    <col min="1" max="1" width="2.44140625" customWidth="1"/>
    <col min="2" max="2" width="39.44140625" customWidth="1"/>
    <col min="3" max="3" width="17.33203125" customWidth="1"/>
  </cols>
  <sheetData>
    <row r="8" spans="2:13">
      <c r="B8" s="207" t="s">
        <v>0</v>
      </c>
      <c r="C8" s="207"/>
      <c r="D8" s="207"/>
      <c r="E8" s="207"/>
      <c r="F8" s="207"/>
      <c r="G8" s="207"/>
      <c r="H8" s="207"/>
      <c r="I8" s="207"/>
      <c r="J8" s="207"/>
      <c r="K8" s="207"/>
      <c r="L8" s="207"/>
      <c r="M8" s="207"/>
    </row>
    <row r="9" spans="2:13">
      <c r="B9" s="216" t="s">
        <v>1</v>
      </c>
    </row>
    <row r="10" spans="2:13">
      <c r="B10" s="4" t="s">
        <v>2</v>
      </c>
    </row>
    <row r="11" spans="2:13">
      <c r="B11" s="4"/>
    </row>
    <row r="12" spans="2:13">
      <c r="B12" s="63"/>
    </row>
    <row r="13" spans="2:13">
      <c r="B13" s="209" t="s">
        <v>3</v>
      </c>
      <c r="C13" s="208"/>
      <c r="D13" s="208"/>
      <c r="E13" s="208"/>
      <c r="F13" s="208"/>
      <c r="G13" s="208"/>
      <c r="H13" s="208"/>
      <c r="I13" s="208"/>
      <c r="J13" s="208"/>
      <c r="K13" s="208"/>
      <c r="L13" s="208"/>
      <c r="M13" s="208"/>
    </row>
    <row r="14" spans="2:13">
      <c r="B14" s="4"/>
    </row>
    <row r="15" spans="2:13">
      <c r="B15" s="204" t="s">
        <v>4</v>
      </c>
    </row>
    <row r="16" spans="2:13">
      <c r="B16" s="65" t="s">
        <v>5</v>
      </c>
    </row>
    <row r="17" spans="2:16">
      <c r="B17" s="203" t="s">
        <v>6</v>
      </c>
    </row>
    <row r="18" spans="2:16">
      <c r="B18" s="203" t="s">
        <v>7</v>
      </c>
    </row>
    <row r="19" spans="2:16">
      <c r="B19" s="4"/>
    </row>
    <row r="20" spans="2:16">
      <c r="B20" s="203" t="s">
        <v>8</v>
      </c>
      <c r="C20" s="205"/>
      <c r="D20" s="205"/>
      <c r="E20" s="205"/>
      <c r="F20" s="205"/>
      <c r="G20" s="205"/>
      <c r="H20" s="205"/>
      <c r="I20" s="205"/>
      <c r="J20" s="205"/>
      <c r="K20" s="205"/>
      <c r="L20" s="205"/>
      <c r="M20" s="205"/>
      <c r="N20" s="205"/>
      <c r="O20" s="205"/>
      <c r="P20" s="205"/>
    </row>
    <row r="21" spans="2:16">
      <c r="B21" s="203" t="s">
        <v>9</v>
      </c>
      <c r="C21" s="205"/>
      <c r="D21" s="205"/>
      <c r="E21" s="205"/>
      <c r="F21" s="205"/>
      <c r="G21" s="205"/>
      <c r="H21" s="205"/>
      <c r="I21" s="205"/>
      <c r="J21" s="205"/>
      <c r="K21" s="205"/>
      <c r="L21" s="205"/>
    </row>
    <row r="22" spans="2:16">
      <c r="B22" s="206" t="s">
        <v>10</v>
      </c>
      <c r="C22" s="207"/>
      <c r="D22" s="207"/>
      <c r="E22" s="207"/>
      <c r="F22" s="207"/>
      <c r="G22" s="207"/>
      <c r="H22" s="207"/>
      <c r="I22" s="207"/>
      <c r="J22" s="207"/>
      <c r="K22" s="207"/>
      <c r="L22" s="207"/>
      <c r="M22" s="207"/>
      <c r="N22" s="207"/>
      <c r="O22" s="207"/>
    </row>
    <row r="23" spans="2:16">
      <c r="B23" s="4"/>
    </row>
    <row r="24" spans="2:16">
      <c r="B24" s="64"/>
    </row>
    <row r="25" spans="2:16" ht="15" thickBot="1">
      <c r="B25" s="202" t="s">
        <v>11</v>
      </c>
    </row>
    <row r="26" spans="2:16" ht="15" thickTop="1">
      <c r="B26" s="1" t="s">
        <v>12</v>
      </c>
      <c r="C26" s="36"/>
    </row>
    <row r="27" spans="2:16">
      <c r="B27" s="1" t="s">
        <v>13</v>
      </c>
      <c r="C27" s="504" t="s">
        <v>14</v>
      </c>
    </row>
    <row r="28" spans="2:16">
      <c r="B28" s="1"/>
      <c r="C28" s="504" t="s">
        <v>15</v>
      </c>
    </row>
    <row r="29" spans="2:16">
      <c r="B29" s="1"/>
      <c r="C29" s="504" t="s">
        <v>16</v>
      </c>
    </row>
    <row r="30" spans="2:16">
      <c r="B30" s="1"/>
      <c r="C30" s="36"/>
    </row>
    <row r="31" spans="2:16">
      <c r="B31" s="1" t="s">
        <v>17</v>
      </c>
      <c r="C31" s="36"/>
    </row>
    <row r="32" spans="2:16">
      <c r="B32" s="1" t="s">
        <v>18</v>
      </c>
      <c r="C32" s="36"/>
    </row>
    <row r="33" spans="2:3">
      <c r="B33" s="1" t="s">
        <v>19</v>
      </c>
      <c r="C33" s="504" t="s">
        <v>20</v>
      </c>
    </row>
    <row r="34" spans="2:3">
      <c r="B34" s="1"/>
      <c r="C34" s="504" t="s">
        <v>21</v>
      </c>
    </row>
    <row r="35" spans="2:3">
      <c r="B35" s="1"/>
      <c r="C35" s="504" t="s">
        <v>22</v>
      </c>
    </row>
    <row r="36" spans="2:3">
      <c r="B36" s="1"/>
      <c r="C36" s="36"/>
    </row>
    <row r="37" spans="2:3">
      <c r="B37" s="1" t="s">
        <v>23</v>
      </c>
      <c r="C37" s="36"/>
    </row>
    <row r="38" spans="2:3">
      <c r="B38" s="1" t="s">
        <v>24</v>
      </c>
      <c r="C38" s="36"/>
    </row>
    <row r="39" spans="2:3">
      <c r="B39" s="1" t="s">
        <v>25</v>
      </c>
      <c r="C39" s="36"/>
    </row>
    <row r="40" spans="2:3">
      <c r="B40" s="1"/>
      <c r="C40" s="36"/>
    </row>
    <row r="41" spans="2:3" ht="15" thickBot="1">
      <c r="B41" s="2" t="s">
        <v>26</v>
      </c>
      <c r="C41" s="36"/>
    </row>
    <row r="42" spans="2:3" ht="15" thickTop="1">
      <c r="B42" s="1"/>
      <c r="C42" s="36"/>
    </row>
    <row r="43" spans="2:3" ht="15" thickBot="1">
      <c r="B43" s="2" t="s">
        <v>27</v>
      </c>
      <c r="C43" s="36"/>
    </row>
    <row r="44" spans="2:3" ht="15" thickTop="1">
      <c r="B44" s="1"/>
      <c r="C44" s="36"/>
    </row>
    <row r="45" spans="2:3" ht="15" thickBot="1">
      <c r="B45" s="2" t="s">
        <v>28</v>
      </c>
      <c r="C45" s="36"/>
    </row>
    <row r="46" spans="2:3" ht="15" thickTop="1">
      <c r="B46" s="1"/>
      <c r="C46" s="36"/>
    </row>
    <row r="47" spans="2:3" ht="15" thickBot="1">
      <c r="B47" s="2" t="s">
        <v>29</v>
      </c>
      <c r="C47" s="36"/>
    </row>
    <row r="48" spans="2:3" ht="15" thickTop="1">
      <c r="B48" s="1"/>
      <c r="C48" s="36"/>
    </row>
    <row r="49" spans="2:3" ht="15" thickBot="1">
      <c r="B49" s="2" t="s">
        <v>30</v>
      </c>
      <c r="C49" s="36"/>
    </row>
    <row r="50" spans="2:3" ht="15" thickTop="1">
      <c r="C50" s="36"/>
    </row>
    <row r="51" spans="2:3" ht="15" thickBot="1">
      <c r="B51" s="2" t="s">
        <v>31</v>
      </c>
      <c r="C51" s="36"/>
    </row>
    <row r="52" spans="2:3" ht="15" thickTop="1">
      <c r="C52" s="36"/>
    </row>
    <row r="53" spans="2:3" ht="15" thickBot="1">
      <c r="B53" s="2" t="s">
        <v>32</v>
      </c>
      <c r="C53" s="36"/>
    </row>
    <row r="54" spans="2:3" ht="15" thickTop="1">
      <c r="C54" s="36"/>
    </row>
    <row r="55" spans="2:3" ht="15" thickBot="1">
      <c r="B55" s="2" t="s">
        <v>33</v>
      </c>
      <c r="C55" s="36"/>
    </row>
    <row r="56" spans="2:3" ht="15" thickTop="1">
      <c r="C56" s="36"/>
    </row>
    <row r="57" spans="2:3" ht="15" thickBot="1">
      <c r="B57" s="2" t="s">
        <v>34</v>
      </c>
      <c r="C57" s="36"/>
    </row>
    <row r="58" spans="2:3" ht="15" thickTop="1">
      <c r="B58" s="62"/>
      <c r="C58" s="36"/>
    </row>
    <row r="59" spans="2:3" ht="15" thickBot="1">
      <c r="B59" s="2" t="s">
        <v>35</v>
      </c>
      <c r="C59" s="36"/>
    </row>
    <row r="60" spans="2:3" ht="15" thickTop="1">
      <c r="C60" s="36"/>
    </row>
    <row r="61" spans="2:3" ht="15" thickBot="1">
      <c r="B61" s="2" t="s">
        <v>36</v>
      </c>
      <c r="C61" s="36"/>
    </row>
    <row r="62" spans="2:3" ht="15" thickTop="1">
      <c r="C62" s="36"/>
    </row>
    <row r="63" spans="2:3">
      <c r="C63" s="36"/>
    </row>
    <row r="64" spans="2:3">
      <c r="C64" s="36"/>
    </row>
    <row r="65" spans="3:3">
      <c r="C65" s="36"/>
    </row>
    <row r="66" spans="3:3">
      <c r="C66" s="36"/>
    </row>
    <row r="67" spans="3:3">
      <c r="C67" s="36"/>
    </row>
    <row r="68" spans="3:3">
      <c r="C68" s="36"/>
    </row>
    <row r="69" spans="3:3">
      <c r="C69" s="36"/>
    </row>
    <row r="70" spans="3:3">
      <c r="C70" s="36"/>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9" location="EEFF_Vías_Chi!A1" display="Estados financieros trimestrales Vías Chile" xr:uid="{7BD5C8AC-35BD-4061-8513-DD7A2BA25D7D}"/>
    <hyperlink ref="B41" location="'Deuda consolidada créditos'!A1" display="Deuda Consolidada Créditos" xr:uid="{8A1642F2-8656-41A0-B082-8565DBAF0118}"/>
    <hyperlink ref="B47" location="CAPEX!A1" display="CAPEX" xr:uid="{996044DD-0C6C-4E11-8CDE-49E6BE1A26D7}"/>
    <hyperlink ref="B49" location="'Regulación TE'!A1" display="Regulación TE" xr:uid="{13DB8F89-E104-4408-8442-B29EDBBBE8CA}"/>
    <hyperlink ref="B55" location="Dividendos!A1" display="Dividendos" xr:uid="{77B44262-DE9D-4708-A60D-A4C9378FD338}"/>
    <hyperlink ref="B43" location="'Deuda 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7" location="Proyectos!A1" display="Proyectos" xr:uid="{D169357F-578B-4BF9-980B-22F719388FDC}"/>
    <hyperlink ref="B56:C56" location="Proyectos!A1" display="Dividendos" xr:uid="{25976DEF-6DD5-49CE-A887-FCC69AD9C702}"/>
    <hyperlink ref="B32" location="'Flujo RBSE'!A1" display="Flujo RBSE" xr:uid="{4A62FAF4-6ACC-41F8-9AAC-FD873A5D1D17}"/>
    <hyperlink ref="C27" location="EEFF_TE_Col!A3" display="ISA" xr:uid="{147FB5A3-52FC-4FC0-8BC8-AD20892016A9}"/>
    <hyperlink ref="B51" location="'Regulación vías'!A1" display="Regulación Vías" xr:uid="{E4288118-EEC3-4CE7-A1C2-0661B347AD57}"/>
    <hyperlink ref="B38" location="EEFF_Vías_Col!A1" display="Estados financieros trimestrales Vías Colombia" xr:uid="{5F5EE972-231C-4DBB-B019-93631549D292}"/>
    <hyperlink ref="B59" location="'Vencimiento Concesiones'!A1" display="Vencimiento Concesiones" xr:uid="{68C8B648-1E1F-4C89-989E-6A879554F17D}"/>
    <hyperlink ref="B61" location="'Participación en compañías'!A1" display="Participación en compañías" xr:uid="{450FC175-A8F8-4B97-B6C8-302C12AAA0EA}"/>
    <hyperlink ref="B53" location="'Tráfico vías'!A1" display="Tráfico Vías" xr:uid="{6C0EE3FE-69CC-4855-B784-AA43907843B4}"/>
    <hyperlink ref="B45"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dimension ref="A1:O92"/>
  <sheetViews>
    <sheetView showGridLines="0" zoomScale="80" zoomScaleNormal="80" workbookViewId="0">
      <selection activeCell="G18" sqref="G18"/>
    </sheetView>
  </sheetViews>
  <sheetFormatPr baseColWidth="10" defaultColWidth="10.88671875" defaultRowHeight="13.2"/>
  <cols>
    <col min="1" max="1" width="10.88671875" style="400"/>
    <col min="2" max="2" width="15.6640625" style="400" customWidth="1"/>
    <col min="3" max="3" width="34.88671875" style="400" customWidth="1"/>
    <col min="4" max="4" width="32.5546875" style="400" bestFit="1" customWidth="1"/>
    <col min="5" max="5" width="14.88671875" style="400" customWidth="1"/>
    <col min="6" max="6" width="13.88671875" style="400" customWidth="1"/>
    <col min="7" max="7" width="13.33203125" style="676" bestFit="1" customWidth="1"/>
    <col min="8" max="8" width="10.88671875" style="400"/>
    <col min="9" max="9" width="11.109375" style="400" customWidth="1"/>
    <col min="10" max="10" width="3.6640625" style="400" customWidth="1"/>
    <col min="11" max="11" width="10.88671875" style="699"/>
    <col min="12" max="12" width="10.88671875" style="400"/>
    <col min="13" max="13" width="21.33203125" style="400" customWidth="1"/>
    <col min="14" max="14" width="19.44140625" style="400" customWidth="1"/>
    <col min="15" max="15" width="17.33203125" style="400" customWidth="1"/>
    <col min="16" max="16384" width="10.88671875" style="400"/>
  </cols>
  <sheetData>
    <row r="1" spans="1:15" ht="31.05" customHeight="1">
      <c r="A1" s="1" t="s">
        <v>37</v>
      </c>
    </row>
    <row r="3" spans="1:15" ht="37.65" customHeight="1">
      <c r="B3" s="739" t="s">
        <v>489</v>
      </c>
      <c r="C3" s="740" t="s">
        <v>569</v>
      </c>
      <c r="D3" s="741" t="s">
        <v>490</v>
      </c>
      <c r="E3" s="742" t="s">
        <v>491</v>
      </c>
      <c r="F3" s="743" t="s">
        <v>570</v>
      </c>
      <c r="G3" s="744" t="s">
        <v>571</v>
      </c>
      <c r="H3" s="743" t="s">
        <v>494</v>
      </c>
      <c r="I3" s="741" t="s">
        <v>495</v>
      </c>
      <c r="J3" s="740"/>
      <c r="K3" s="745"/>
      <c r="L3" s="746"/>
      <c r="M3" s="768" t="s">
        <v>1236</v>
      </c>
      <c r="N3" s="768" t="s">
        <v>1237</v>
      </c>
      <c r="O3" s="768" t="s">
        <v>1238</v>
      </c>
    </row>
    <row r="4" spans="1:15" ht="14.4">
      <c r="B4" s="622"/>
      <c r="C4" s="622"/>
      <c r="D4" s="622"/>
      <c r="E4" s="622"/>
      <c r="F4" s="622"/>
      <c r="G4" s="677"/>
      <c r="H4" s="622"/>
      <c r="I4" s="622"/>
      <c r="J4" s="622"/>
      <c r="K4" s="622"/>
      <c r="L4"/>
      <c r="M4" s="622"/>
      <c r="N4" s="622"/>
      <c r="O4" s="622"/>
    </row>
    <row r="5" spans="1:15" ht="14.4" thickBot="1">
      <c r="B5" s="345" t="s">
        <v>496</v>
      </c>
      <c r="C5" s="345"/>
      <c r="D5" s="345"/>
      <c r="E5" s="345"/>
      <c r="F5" s="345"/>
      <c r="G5" s="678"/>
      <c r="H5" s="345"/>
      <c r="I5" s="345"/>
      <c r="J5" s="346"/>
      <c r="K5" s="574"/>
      <c r="L5" s="343"/>
      <c r="M5" s="346"/>
      <c r="N5" s="347">
        <f>+N28+N32+N35</f>
        <v>5855433.4632785991</v>
      </c>
      <c r="O5" s="347">
        <f>+O28+O32+O35</f>
        <v>1397051.3693379113</v>
      </c>
    </row>
    <row r="6" spans="1:15" ht="15" thickTop="1">
      <c r="B6" s="376"/>
      <c r="C6" s="376"/>
      <c r="D6" s="344"/>
      <c r="E6" s="344"/>
      <c r="F6" s="344"/>
      <c r="G6" s="679"/>
      <c r="H6" s="344"/>
      <c r="I6" s="344"/>
      <c r="J6" s="344"/>
      <c r="K6" s="344"/>
      <c r="L6"/>
      <c r="M6" s="344"/>
      <c r="N6" s="349"/>
      <c r="O6" s="350"/>
    </row>
    <row r="7" spans="1:15" ht="13.8">
      <c r="B7" s="775" t="s">
        <v>14</v>
      </c>
      <c r="C7" s="571" t="s">
        <v>572</v>
      </c>
      <c r="D7" s="351" t="s">
        <v>573</v>
      </c>
      <c r="E7" s="352" t="s">
        <v>499</v>
      </c>
      <c r="F7" s="353">
        <v>40878</v>
      </c>
      <c r="G7" s="680">
        <v>45261</v>
      </c>
      <c r="H7" s="354">
        <v>12.008219178082191</v>
      </c>
      <c r="I7" s="355" t="s">
        <v>500</v>
      </c>
      <c r="J7" s="356" t="s">
        <v>501</v>
      </c>
      <c r="K7" s="700">
        <v>4.4699999999999997E-2</v>
      </c>
      <c r="L7" s="343"/>
      <c r="M7" s="357">
        <v>180000000000</v>
      </c>
      <c r="N7" s="358">
        <v>179999.9999999619</v>
      </c>
      <c r="O7" s="359">
        <v>42946.307571902114</v>
      </c>
    </row>
    <row r="8" spans="1:15" ht="13.8">
      <c r="B8" s="776"/>
      <c r="C8" s="571" t="s">
        <v>572</v>
      </c>
      <c r="D8" s="351" t="s">
        <v>574</v>
      </c>
      <c r="E8" s="352" t="s">
        <v>499</v>
      </c>
      <c r="F8" s="353">
        <v>40878</v>
      </c>
      <c r="G8" s="680">
        <v>51836</v>
      </c>
      <c r="H8" s="354">
        <v>30.021917808219179</v>
      </c>
      <c r="I8" s="355" t="s">
        <v>500</v>
      </c>
      <c r="J8" s="356" t="s">
        <v>501</v>
      </c>
      <c r="K8" s="700">
        <v>4.8399999999999999E-2</v>
      </c>
      <c r="L8" s="343"/>
      <c r="M8" s="357">
        <v>120000000000</v>
      </c>
      <c r="N8" s="358">
        <v>119999.99999997459</v>
      </c>
      <c r="O8" s="359">
        <v>28630.871714601413</v>
      </c>
    </row>
    <row r="9" spans="1:15" ht="13.8">
      <c r="B9" s="776"/>
      <c r="C9" s="571" t="s">
        <v>572</v>
      </c>
      <c r="D9" s="351" t="s">
        <v>575</v>
      </c>
      <c r="E9" s="352" t="s">
        <v>499</v>
      </c>
      <c r="F9" s="353">
        <v>41416</v>
      </c>
      <c r="G9" s="680">
        <v>46895</v>
      </c>
      <c r="H9" s="354">
        <v>15.010958904109589</v>
      </c>
      <c r="I9" s="355" t="s">
        <v>500</v>
      </c>
      <c r="J9" s="356" t="s">
        <v>501</v>
      </c>
      <c r="K9" s="700">
        <v>3.2500000000000001E-2</v>
      </c>
      <c r="L9" s="343"/>
      <c r="M9" s="357">
        <v>100000000000</v>
      </c>
      <c r="N9" s="358">
        <v>99999.999999978827</v>
      </c>
      <c r="O9" s="359">
        <v>23859.059762167843</v>
      </c>
    </row>
    <row r="10" spans="1:15" ht="13.8">
      <c r="B10" s="776"/>
      <c r="C10" s="571" t="s">
        <v>572</v>
      </c>
      <c r="D10" s="351" t="s">
        <v>576</v>
      </c>
      <c r="E10" s="352" t="s">
        <v>499</v>
      </c>
      <c r="F10" s="353">
        <v>42131</v>
      </c>
      <c r="G10" s="680">
        <v>45784</v>
      </c>
      <c r="H10" s="354">
        <v>10.008219178082191</v>
      </c>
      <c r="I10" s="355" t="s">
        <v>500</v>
      </c>
      <c r="J10" s="356" t="s">
        <v>501</v>
      </c>
      <c r="K10" s="700">
        <v>3.7999999999999999E-2</v>
      </c>
      <c r="L10" s="343"/>
      <c r="M10" s="357">
        <v>100000000000</v>
      </c>
      <c r="N10" s="358">
        <v>99999.999999978827</v>
      </c>
      <c r="O10" s="359">
        <v>23859.059762167843</v>
      </c>
    </row>
    <row r="11" spans="1:15" ht="13.8">
      <c r="B11" s="776"/>
      <c r="C11" s="571" t="s">
        <v>572</v>
      </c>
      <c r="D11" s="351" t="s">
        <v>577</v>
      </c>
      <c r="E11" s="352" t="s">
        <v>499</v>
      </c>
      <c r="F11" s="353">
        <v>42131</v>
      </c>
      <c r="G11" s="680">
        <v>47610</v>
      </c>
      <c r="H11" s="354">
        <v>15.010958904109589</v>
      </c>
      <c r="I11" s="355" t="s">
        <v>500</v>
      </c>
      <c r="J11" s="356" t="s">
        <v>501</v>
      </c>
      <c r="K11" s="700">
        <v>4.1399999999999999E-2</v>
      </c>
      <c r="L11" s="343"/>
      <c r="M11" s="357">
        <v>120000000000</v>
      </c>
      <c r="N11" s="358">
        <v>119999.99999997459</v>
      </c>
      <c r="O11" s="359">
        <v>28630.871714601413</v>
      </c>
    </row>
    <row r="12" spans="1:15" ht="13.8">
      <c r="B12" s="776"/>
      <c r="C12" s="571" t="s">
        <v>572</v>
      </c>
      <c r="D12" s="351" t="s">
        <v>578</v>
      </c>
      <c r="E12" s="352" t="s">
        <v>499</v>
      </c>
      <c r="F12" s="353">
        <v>42131</v>
      </c>
      <c r="G12" s="680">
        <v>49436</v>
      </c>
      <c r="H12" s="354">
        <v>20.013698630136986</v>
      </c>
      <c r="I12" s="355" t="s">
        <v>500</v>
      </c>
      <c r="J12" s="356" t="s">
        <v>501</v>
      </c>
      <c r="K12" s="700">
        <v>4.3400000000000001E-2</v>
      </c>
      <c r="L12" s="343"/>
      <c r="M12" s="357">
        <v>280000000000</v>
      </c>
      <c r="N12" s="358">
        <v>279999.99999994074</v>
      </c>
      <c r="O12" s="359">
        <v>66805.367334069975</v>
      </c>
    </row>
    <row r="13" spans="1:15" ht="13.8">
      <c r="B13" s="776"/>
      <c r="C13" s="571" t="s">
        <v>572</v>
      </c>
      <c r="D13" s="351" t="s">
        <v>579</v>
      </c>
      <c r="E13" s="352" t="s">
        <v>499</v>
      </c>
      <c r="F13" s="353">
        <v>42416</v>
      </c>
      <c r="G13" s="680">
        <v>45338</v>
      </c>
      <c r="H13" s="354">
        <v>8.0054794520547947</v>
      </c>
      <c r="I13" s="355" t="s">
        <v>500</v>
      </c>
      <c r="J13" s="356" t="s">
        <v>501</v>
      </c>
      <c r="K13" s="700">
        <v>4.7300000000000002E-2</v>
      </c>
      <c r="L13" s="343"/>
      <c r="M13" s="357">
        <v>115000000000</v>
      </c>
      <c r="N13" s="358">
        <v>114999.99999997565</v>
      </c>
      <c r="O13" s="359">
        <v>27437.918726493019</v>
      </c>
    </row>
    <row r="14" spans="1:15" ht="13.8">
      <c r="B14" s="776"/>
      <c r="C14" s="571" t="s">
        <v>572</v>
      </c>
      <c r="D14" s="351" t="s">
        <v>580</v>
      </c>
      <c r="E14" s="352" t="s">
        <v>499</v>
      </c>
      <c r="F14" s="353">
        <v>42416</v>
      </c>
      <c r="G14" s="680">
        <v>46799</v>
      </c>
      <c r="H14" s="354">
        <v>12.008219178082191</v>
      </c>
      <c r="I14" s="355" t="s">
        <v>500</v>
      </c>
      <c r="J14" s="356" t="s">
        <v>501</v>
      </c>
      <c r="K14" s="700">
        <v>5.0500000000000003E-2</v>
      </c>
      <c r="L14" s="343"/>
      <c r="M14" s="357">
        <v>152000000000</v>
      </c>
      <c r="N14" s="358">
        <v>151999.99999996781</v>
      </c>
      <c r="O14" s="359">
        <v>36265.770838495126</v>
      </c>
    </row>
    <row r="15" spans="1:15" ht="13.8">
      <c r="B15" s="776"/>
      <c r="C15" s="571" t="s">
        <v>572</v>
      </c>
      <c r="D15" s="351" t="s">
        <v>581</v>
      </c>
      <c r="E15" s="352" t="s">
        <v>499</v>
      </c>
      <c r="F15" s="353">
        <v>42416</v>
      </c>
      <c r="G15" s="680">
        <v>51548</v>
      </c>
      <c r="H15" s="354">
        <v>25.019178082191782</v>
      </c>
      <c r="I15" s="355" t="s">
        <v>500</v>
      </c>
      <c r="J15" s="356" t="s">
        <v>501</v>
      </c>
      <c r="K15" s="700">
        <v>5.3800000000000001E-2</v>
      </c>
      <c r="L15" s="343"/>
      <c r="M15" s="357">
        <v>133000000000</v>
      </c>
      <c r="N15" s="358">
        <v>132999.99999997186</v>
      </c>
      <c r="O15" s="359">
        <v>31732.549483683233</v>
      </c>
    </row>
    <row r="16" spans="1:15" ht="13.8">
      <c r="B16" s="776"/>
      <c r="C16" s="571" t="s">
        <v>572</v>
      </c>
      <c r="D16" s="351" t="s">
        <v>582</v>
      </c>
      <c r="E16" s="352" t="s">
        <v>499</v>
      </c>
      <c r="F16" s="353">
        <v>42843</v>
      </c>
      <c r="G16" s="680">
        <v>45400</v>
      </c>
      <c r="H16" s="354">
        <v>7.0054794520547947</v>
      </c>
      <c r="I16" s="355" t="s">
        <v>506</v>
      </c>
      <c r="J16" s="356"/>
      <c r="K16" s="700">
        <v>6.7500000000000004E-2</v>
      </c>
      <c r="L16" s="343"/>
      <c r="M16" s="357">
        <v>260780000000</v>
      </c>
      <c r="N16" s="358">
        <v>260779.99999994479</v>
      </c>
      <c r="O16" s="359">
        <v>62219.656047781296</v>
      </c>
    </row>
    <row r="17" spans="2:15" ht="13.8">
      <c r="B17" s="776"/>
      <c r="C17" s="571" t="s">
        <v>572</v>
      </c>
      <c r="D17" s="351" t="s">
        <v>583</v>
      </c>
      <c r="E17" s="352" t="s">
        <v>499</v>
      </c>
      <c r="F17" s="353">
        <v>42843</v>
      </c>
      <c r="G17" s="680">
        <v>48322</v>
      </c>
      <c r="H17" s="354">
        <v>15.010958904109589</v>
      </c>
      <c r="I17" s="355" t="s">
        <v>500</v>
      </c>
      <c r="J17" s="356" t="s">
        <v>501</v>
      </c>
      <c r="K17" s="700">
        <v>3.8100000000000002E-2</v>
      </c>
      <c r="L17" s="343"/>
      <c r="M17" s="357">
        <v>196300000000</v>
      </c>
      <c r="N17" s="358">
        <v>196299.99999995844</v>
      </c>
      <c r="O17" s="359">
        <v>46835.334313135478</v>
      </c>
    </row>
    <row r="18" spans="2:15" ht="13.8">
      <c r="B18" s="776"/>
      <c r="C18" s="571" t="s">
        <v>572</v>
      </c>
      <c r="D18" s="351" t="s">
        <v>584</v>
      </c>
      <c r="E18" s="352" t="s">
        <v>499</v>
      </c>
      <c r="F18" s="353">
        <v>42843</v>
      </c>
      <c r="G18" s="680">
        <v>51974</v>
      </c>
      <c r="H18" s="354">
        <v>25.016438356164382</v>
      </c>
      <c r="I18" s="355" t="s">
        <v>500</v>
      </c>
      <c r="J18" s="356" t="s">
        <v>501</v>
      </c>
      <c r="K18" s="700">
        <v>0.04</v>
      </c>
      <c r="L18" s="343"/>
      <c r="M18" s="357">
        <v>242920000000</v>
      </c>
      <c r="N18" s="358">
        <v>242919.99999994857</v>
      </c>
      <c r="O18" s="359">
        <v>57958.42797425812</v>
      </c>
    </row>
    <row r="19" spans="2:15" ht="13.8">
      <c r="B19" s="776"/>
      <c r="C19" s="571" t="s">
        <v>572</v>
      </c>
      <c r="D19" s="351" t="s">
        <v>585</v>
      </c>
      <c r="E19" s="352" t="s">
        <v>499</v>
      </c>
      <c r="F19" s="353">
        <v>43067</v>
      </c>
      <c r="G19" s="680">
        <v>45989</v>
      </c>
      <c r="H19" s="354">
        <v>8.0054794520547947</v>
      </c>
      <c r="I19" s="355" t="s">
        <v>506</v>
      </c>
      <c r="J19" s="356"/>
      <c r="K19" s="700">
        <v>6.9900000000000004E-2</v>
      </c>
      <c r="L19" s="343"/>
      <c r="M19" s="357">
        <v>150080000000</v>
      </c>
      <c r="N19" s="358">
        <v>150079.99999996822</v>
      </c>
      <c r="O19" s="359">
        <v>35807.676891061499</v>
      </c>
    </row>
    <row r="20" spans="2:15" ht="13.8">
      <c r="B20" s="776"/>
      <c r="C20" s="571" t="s">
        <v>572</v>
      </c>
      <c r="D20" s="351" t="s">
        <v>586</v>
      </c>
      <c r="E20" s="352" t="s">
        <v>499</v>
      </c>
      <c r="F20" s="353">
        <v>43067</v>
      </c>
      <c r="G20" s="680">
        <v>48180</v>
      </c>
      <c r="H20" s="354">
        <v>14.008219178082191</v>
      </c>
      <c r="I20" s="355" t="s">
        <v>500</v>
      </c>
      <c r="J20" s="356" t="s">
        <v>501</v>
      </c>
      <c r="K20" s="700">
        <v>3.7499999999999999E-2</v>
      </c>
      <c r="L20" s="343"/>
      <c r="M20" s="357">
        <v>120100000000</v>
      </c>
      <c r="N20" s="358">
        <v>120099.99999997458</v>
      </c>
      <c r="O20" s="359">
        <v>28654.730774363579</v>
      </c>
    </row>
    <row r="21" spans="2:15" ht="13.8">
      <c r="B21" s="776"/>
      <c r="C21" s="571" t="s">
        <v>572</v>
      </c>
      <c r="D21" s="351" t="s">
        <v>587</v>
      </c>
      <c r="E21" s="352" t="s">
        <v>499</v>
      </c>
      <c r="F21" s="353">
        <v>43067</v>
      </c>
      <c r="G21" s="680">
        <v>54024</v>
      </c>
      <c r="H21" s="354">
        <v>30.019178082191782</v>
      </c>
      <c r="I21" s="355" t="s">
        <v>500</v>
      </c>
      <c r="J21" s="356" t="s">
        <v>501</v>
      </c>
      <c r="K21" s="700">
        <v>3.9800000000000002E-2</v>
      </c>
      <c r="L21" s="343"/>
      <c r="M21" s="357">
        <v>229820000000</v>
      </c>
      <c r="N21" s="358">
        <v>229819.99999995134</v>
      </c>
      <c r="O21" s="359">
        <v>54832.891145414134</v>
      </c>
    </row>
    <row r="22" spans="2:15" ht="13.8">
      <c r="B22" s="776"/>
      <c r="C22" s="571" t="s">
        <v>572</v>
      </c>
      <c r="D22" s="351" t="s">
        <v>588</v>
      </c>
      <c r="E22" s="352" t="s">
        <v>499</v>
      </c>
      <c r="F22" s="353">
        <v>43306</v>
      </c>
      <c r="G22" s="680">
        <v>46593</v>
      </c>
      <c r="H22" s="354">
        <v>9.0054794520547947</v>
      </c>
      <c r="I22" s="355" t="s">
        <v>500</v>
      </c>
      <c r="J22" s="356" t="s">
        <v>501</v>
      </c>
      <c r="K22" s="700">
        <v>3.49E-2</v>
      </c>
      <c r="L22" s="343"/>
      <c r="M22" s="357">
        <v>156500000000</v>
      </c>
      <c r="N22" s="358">
        <v>156499.99999996688</v>
      </c>
      <c r="O22" s="359">
        <v>37339.428527792676</v>
      </c>
    </row>
    <row r="23" spans="2:15" ht="13.8">
      <c r="B23" s="776"/>
      <c r="C23" s="571" t="s">
        <v>572</v>
      </c>
      <c r="D23" s="351" t="s">
        <v>589</v>
      </c>
      <c r="E23" s="352" t="s">
        <v>499</v>
      </c>
      <c r="F23" s="353">
        <v>43306</v>
      </c>
      <c r="G23" s="680">
        <v>48785</v>
      </c>
      <c r="H23" s="354">
        <v>15.010958904109589</v>
      </c>
      <c r="I23" s="355" t="s">
        <v>500</v>
      </c>
      <c r="J23" s="356" t="s">
        <v>501</v>
      </c>
      <c r="K23" s="700">
        <v>3.8899999999999997E-2</v>
      </c>
      <c r="L23" s="343"/>
      <c r="M23" s="357">
        <v>142063000000</v>
      </c>
      <c r="N23" s="358">
        <v>142062.99999996994</v>
      </c>
      <c r="O23" s="359">
        <v>33894.896069928509</v>
      </c>
    </row>
    <row r="24" spans="2:15" ht="13.8">
      <c r="B24" s="776"/>
      <c r="C24" s="571" t="s">
        <v>572</v>
      </c>
      <c r="D24" s="351" t="s">
        <v>590</v>
      </c>
      <c r="E24" s="352" t="s">
        <v>499</v>
      </c>
      <c r="F24" s="353">
        <v>43306</v>
      </c>
      <c r="G24" s="680">
        <v>52437</v>
      </c>
      <c r="H24" s="354">
        <v>25.016438356164382</v>
      </c>
      <c r="I24" s="355" t="s">
        <v>500</v>
      </c>
      <c r="J24" s="356" t="s">
        <v>501</v>
      </c>
      <c r="K24" s="700">
        <v>4.07E-2</v>
      </c>
      <c r="L24" s="343"/>
      <c r="M24" s="357">
        <v>201437000000</v>
      </c>
      <c r="N24" s="358">
        <v>201436.99999995736</v>
      </c>
      <c r="O24" s="359">
        <v>48060.974213118039</v>
      </c>
    </row>
    <row r="25" spans="2:15" ht="13.8">
      <c r="B25" s="776"/>
      <c r="C25" s="571" t="s">
        <v>572</v>
      </c>
      <c r="D25" s="351" t="s">
        <v>591</v>
      </c>
      <c r="E25" s="352" t="s">
        <v>499</v>
      </c>
      <c r="F25" s="353">
        <v>44056</v>
      </c>
      <c r="G25" s="680">
        <v>47343</v>
      </c>
      <c r="H25" s="354">
        <v>9.0054794520547947</v>
      </c>
      <c r="I25" s="355" t="s">
        <v>506</v>
      </c>
      <c r="J25" s="356"/>
      <c r="K25" s="700">
        <v>6.3299999999999995E-2</v>
      </c>
      <c r="L25" s="343"/>
      <c r="M25" s="357">
        <v>160000000000</v>
      </c>
      <c r="N25" s="358">
        <v>159999.99999996612</v>
      </c>
      <c r="O25" s="359">
        <v>38174.495619468544</v>
      </c>
    </row>
    <row r="26" spans="2:15" ht="13.8">
      <c r="B26" s="776"/>
      <c r="C26" s="571" t="s">
        <v>572</v>
      </c>
      <c r="D26" s="351" t="s">
        <v>592</v>
      </c>
      <c r="E26" s="352" t="s">
        <v>505</v>
      </c>
      <c r="F26" s="353">
        <v>44056</v>
      </c>
      <c r="G26" s="680">
        <v>51361</v>
      </c>
      <c r="H26" s="354">
        <v>20.013698630136986</v>
      </c>
      <c r="I26" s="355" t="s">
        <v>506</v>
      </c>
      <c r="J26" s="356"/>
      <c r="K26" s="700">
        <v>3.6700000000000003E-2</v>
      </c>
      <c r="L26" s="343"/>
      <c r="M26" s="357">
        <v>509780000</v>
      </c>
      <c r="N26" s="358">
        <v>177484.13817396242</v>
      </c>
      <c r="O26" s="359">
        <v>42346.046595303204</v>
      </c>
    </row>
    <row r="27" spans="2:15" ht="13.8">
      <c r="B27" s="777"/>
      <c r="C27" s="571" t="s">
        <v>572</v>
      </c>
      <c r="D27" s="351" t="s">
        <v>593</v>
      </c>
      <c r="E27" s="352" t="s">
        <v>518</v>
      </c>
      <c r="F27" s="353">
        <v>44526</v>
      </c>
      <c r="G27" s="680">
        <v>48909</v>
      </c>
      <c r="H27" s="354">
        <v>12.008219178082191</v>
      </c>
      <c r="I27" s="355" t="s">
        <v>506</v>
      </c>
      <c r="J27" s="356"/>
      <c r="K27" s="700">
        <v>3.8249999999999999E-2</v>
      </c>
      <c r="L27" s="343"/>
      <c r="M27" s="357">
        <v>330000000</v>
      </c>
      <c r="N27" s="358">
        <v>1383122.399999707</v>
      </c>
      <c r="O27" s="359">
        <v>329999.99999993015</v>
      </c>
    </row>
    <row r="28" spans="2:15" ht="13.8">
      <c r="B28" s="395"/>
      <c r="C28" s="360"/>
      <c r="D28" s="360"/>
      <c r="E28" s="360"/>
      <c r="F28" s="360"/>
      <c r="G28" s="681"/>
      <c r="H28" s="360"/>
      <c r="I28" s="360"/>
      <c r="J28" s="360"/>
      <c r="K28" s="701"/>
      <c r="L28" s="343"/>
      <c r="M28" s="360"/>
      <c r="N28" s="362">
        <f>SUM(N7:N27)</f>
        <v>4720606.5381729994</v>
      </c>
      <c r="O28" s="362">
        <f>SUM(O7:O27)</f>
        <v>1126292.3350797372</v>
      </c>
    </row>
    <row r="29" spans="2:15" ht="14.4">
      <c r="B29"/>
      <c r="C29"/>
      <c r="D29"/>
      <c r="E29"/>
      <c r="F29"/>
      <c r="G29" s="302"/>
      <c r="H29"/>
      <c r="I29"/>
      <c r="J29"/>
      <c r="K29" s="702"/>
      <c r="L29"/>
      <c r="M29"/>
      <c r="N29" s="361"/>
      <c r="O29" s="361"/>
    </row>
    <row r="30" spans="2:15" ht="14.4">
      <c r="B30" s="779" t="s">
        <v>594</v>
      </c>
      <c r="C30" s="374" t="s">
        <v>572</v>
      </c>
      <c r="D30" s="351" t="s">
        <v>595</v>
      </c>
      <c r="E30" s="364" t="s">
        <v>518</v>
      </c>
      <c r="F30" s="353">
        <v>42559</v>
      </c>
      <c r="G30" s="680">
        <v>48959</v>
      </c>
      <c r="H30" s="354">
        <v>17.534246575342465</v>
      </c>
      <c r="I30" s="355" t="s">
        <v>506</v>
      </c>
      <c r="J30" s="356"/>
      <c r="K30" s="700">
        <v>6.7500000000000004E-2</v>
      </c>
      <c r="L30"/>
      <c r="M30" s="357">
        <v>134469868</v>
      </c>
      <c r="N30" s="358">
        <v>561758.63115567155</v>
      </c>
      <c r="O30" s="359">
        <v>134030.32752659605</v>
      </c>
    </row>
    <row r="31" spans="2:15" ht="13.8">
      <c r="B31" s="780"/>
      <c r="C31" s="374" t="s">
        <v>572</v>
      </c>
      <c r="D31" s="351" t="s">
        <v>596</v>
      </c>
      <c r="E31" s="364" t="s">
        <v>505</v>
      </c>
      <c r="F31" s="353">
        <v>42559</v>
      </c>
      <c r="G31" s="680">
        <v>48959</v>
      </c>
      <c r="H31" s="354">
        <v>17.534246575342465</v>
      </c>
      <c r="I31" s="355" t="s">
        <v>506</v>
      </c>
      <c r="J31" s="356"/>
      <c r="K31" s="700">
        <v>6.25E-2</v>
      </c>
      <c r="L31" s="343"/>
      <c r="M31" s="357">
        <v>1358773563.5</v>
      </c>
      <c r="N31" s="358">
        <v>473068.2939499286</v>
      </c>
      <c r="O31" s="359">
        <v>112869.64696940519</v>
      </c>
    </row>
    <row r="32" spans="2:15" ht="13.8">
      <c r="B32" s="365"/>
      <c r="C32" s="569"/>
      <c r="D32" s="366"/>
      <c r="E32" s="367"/>
      <c r="F32" s="368"/>
      <c r="G32" s="682"/>
      <c r="H32" s="370"/>
      <c r="I32" s="371"/>
      <c r="J32" s="372"/>
      <c r="K32" s="703"/>
      <c r="L32" s="343"/>
      <c r="M32" s="373"/>
      <c r="N32" s="362">
        <f>+SUM(N30:N31)</f>
        <v>1034826.9251056002</v>
      </c>
      <c r="O32" s="362">
        <f>+SUM(O30:O31)</f>
        <v>246899.97449600126</v>
      </c>
    </row>
    <row r="33" spans="2:15" ht="14.4">
      <c r="B33"/>
      <c r="C33" s="570"/>
      <c r="D33"/>
      <c r="E33"/>
      <c r="F33"/>
      <c r="G33" s="302"/>
      <c r="H33"/>
      <c r="I33"/>
      <c r="J33"/>
      <c r="K33" s="704"/>
      <c r="L33" s="343"/>
      <c r="M33" s="361"/>
      <c r="N33" s="349"/>
      <c r="O33" s="349"/>
    </row>
    <row r="34" spans="2:15" ht="13.8">
      <c r="B34" s="531" t="s">
        <v>597</v>
      </c>
      <c r="C34" s="571" t="s">
        <v>572</v>
      </c>
      <c r="D34" s="374" t="s">
        <v>598</v>
      </c>
      <c r="E34" s="375" t="s">
        <v>499</v>
      </c>
      <c r="F34" s="353">
        <v>40827</v>
      </c>
      <c r="G34" s="680">
        <v>46306</v>
      </c>
      <c r="H34" s="354">
        <v>15.010958904109589</v>
      </c>
      <c r="I34" s="355" t="s">
        <v>500</v>
      </c>
      <c r="J34" s="356" t="s">
        <v>501</v>
      </c>
      <c r="K34" s="700">
        <v>4.48E-2</v>
      </c>
      <c r="L34" s="343"/>
      <c r="M34" s="357">
        <v>100000000000</v>
      </c>
      <c r="N34" s="358">
        <v>100000</v>
      </c>
      <c r="O34" s="357">
        <v>23859.059762172896</v>
      </c>
    </row>
    <row r="35" spans="2:15" ht="14.4">
      <c r="B35"/>
      <c r="C35" s="570"/>
      <c r="D35"/>
      <c r="E35"/>
      <c r="F35"/>
      <c r="G35" s="302"/>
      <c r="H35"/>
      <c r="I35"/>
      <c r="J35"/>
      <c r="K35" s="704"/>
      <c r="L35"/>
      <c r="M35" s="361"/>
      <c r="N35" s="362">
        <f>+N34</f>
        <v>100000</v>
      </c>
      <c r="O35" s="363">
        <f>+O34</f>
        <v>23859.059762172896</v>
      </c>
    </row>
    <row r="36" spans="2:15" ht="14.4">
      <c r="B36"/>
      <c r="C36" s="570"/>
      <c r="D36"/>
      <c r="E36"/>
      <c r="F36"/>
      <c r="G36" s="302"/>
      <c r="H36"/>
      <c r="I36"/>
      <c r="J36"/>
      <c r="K36" s="702"/>
      <c r="L36" s="343"/>
      <c r="M36"/>
      <c r="N36" s="349"/>
      <c r="O36" s="350"/>
    </row>
    <row r="37" spans="2:15" ht="15" thickBot="1">
      <c r="B37" s="345" t="s">
        <v>516</v>
      </c>
      <c r="C37" s="345"/>
      <c r="D37" s="345"/>
      <c r="E37" s="345"/>
      <c r="F37" s="345"/>
      <c r="G37" s="678"/>
      <c r="H37" s="345"/>
      <c r="I37" s="345"/>
      <c r="J37" s="346"/>
      <c r="K37" s="705"/>
      <c r="L37"/>
      <c r="M37" s="346"/>
      <c r="N37" s="347">
        <f>+N41+N45</f>
        <v>4937327.8393713078</v>
      </c>
      <c r="O37" s="347">
        <f>+O41+O45</f>
        <v>1177999.99985</v>
      </c>
    </row>
    <row r="38" spans="2:15" ht="14.4" thickTop="1">
      <c r="B38" s="376"/>
      <c r="C38" s="376"/>
      <c r="D38" s="344"/>
      <c r="E38" s="344"/>
      <c r="F38" s="344"/>
      <c r="G38" s="679"/>
      <c r="H38" s="344"/>
      <c r="I38" s="344"/>
      <c r="J38" s="344"/>
      <c r="K38" s="706"/>
      <c r="L38" s="343"/>
      <c r="M38" s="344"/>
      <c r="N38" s="349"/>
      <c r="O38" s="350"/>
    </row>
    <row r="39" spans="2:15" ht="14.4">
      <c r="B39" s="775" t="s">
        <v>21</v>
      </c>
      <c r="C39" s="374" t="s">
        <v>572</v>
      </c>
      <c r="D39" s="377" t="s">
        <v>599</v>
      </c>
      <c r="E39" s="378" t="s">
        <v>518</v>
      </c>
      <c r="F39" s="379">
        <v>40563</v>
      </c>
      <c r="G39" s="379">
        <v>46042</v>
      </c>
      <c r="H39" s="380">
        <v>15.010958904109589</v>
      </c>
      <c r="I39" s="381" t="s">
        <v>506</v>
      </c>
      <c r="J39" s="382"/>
      <c r="K39" s="707">
        <v>6.5000000000000002E-2</v>
      </c>
      <c r="L39"/>
      <c r="M39" s="383">
        <v>38000000</v>
      </c>
      <c r="N39" s="384">
        <v>159268.63969371415</v>
      </c>
      <c r="O39" s="384">
        <v>37999.999926923083</v>
      </c>
    </row>
    <row r="40" spans="2:15" ht="13.8">
      <c r="B40" s="777"/>
      <c r="C40" s="374" t="s">
        <v>572</v>
      </c>
      <c r="D40" s="377" t="s">
        <v>600</v>
      </c>
      <c r="E40" s="378" t="s">
        <v>518</v>
      </c>
      <c r="F40" s="379">
        <v>41201</v>
      </c>
      <c r="G40" s="379">
        <v>47957</v>
      </c>
      <c r="H40" s="380">
        <v>18.509589041095889</v>
      </c>
      <c r="I40" s="381" t="s">
        <v>506</v>
      </c>
      <c r="J40" s="382"/>
      <c r="K40" s="707">
        <v>5.8749999999999997E-2</v>
      </c>
      <c r="L40" s="343"/>
      <c r="M40" s="383">
        <v>40000000</v>
      </c>
      <c r="N40" s="384">
        <v>167651.19967759383</v>
      </c>
      <c r="O40" s="384">
        <v>39999.999923076917</v>
      </c>
    </row>
    <row r="41" spans="2:15" ht="14.4">
      <c r="B41" s="395"/>
      <c r="C41" s="570"/>
      <c r="D41" s="366"/>
      <c r="E41" s="367"/>
      <c r="F41" s="368"/>
      <c r="G41" s="684"/>
      <c r="H41"/>
      <c r="I41" s="385"/>
      <c r="J41" s="385"/>
      <c r="K41" s="703"/>
      <c r="L41" s="343"/>
      <c r="M41" s="386"/>
      <c r="N41" s="362">
        <f>+SUM(N39:N40)</f>
        <v>326919.83937130799</v>
      </c>
      <c r="O41" s="362">
        <f>+SUM(O39:O40)</f>
        <v>77999.999849999993</v>
      </c>
    </row>
    <row r="42" spans="2:15" ht="14.4">
      <c r="B42"/>
      <c r="C42" s="570"/>
      <c r="D42" s="366"/>
      <c r="E42" s="367"/>
      <c r="F42" s="368"/>
      <c r="G42" s="684"/>
      <c r="H42"/>
      <c r="I42" s="385"/>
      <c r="J42" s="385"/>
      <c r="K42" s="703"/>
      <c r="L42"/>
      <c r="M42" s="386"/>
      <c r="N42" s="349"/>
      <c r="O42" s="349"/>
    </row>
    <row r="43" spans="2:15" ht="13.8">
      <c r="B43" s="779" t="s">
        <v>601</v>
      </c>
      <c r="C43" s="571" t="s">
        <v>572</v>
      </c>
      <c r="D43" s="351" t="s">
        <v>602</v>
      </c>
      <c r="E43" s="352" t="s">
        <v>518</v>
      </c>
      <c r="F43" s="353">
        <v>43571</v>
      </c>
      <c r="G43" s="683">
        <v>49050</v>
      </c>
      <c r="H43" s="354">
        <v>15.010958904109589</v>
      </c>
      <c r="I43" s="381" t="s">
        <v>506</v>
      </c>
      <c r="J43" s="356"/>
      <c r="K43" s="700">
        <v>4.7E-2</v>
      </c>
      <c r="L43" s="343"/>
      <c r="M43" s="357">
        <v>600000000</v>
      </c>
      <c r="N43" s="358">
        <v>2514768</v>
      </c>
      <c r="O43" s="383">
        <v>600000</v>
      </c>
    </row>
    <row r="44" spans="2:15" ht="14.4">
      <c r="B44" s="780"/>
      <c r="C44" s="571" t="s">
        <v>572</v>
      </c>
      <c r="D44" s="351" t="s">
        <v>602</v>
      </c>
      <c r="E44" s="352" t="s">
        <v>518</v>
      </c>
      <c r="F44" s="353">
        <v>44662</v>
      </c>
      <c r="G44" s="683">
        <v>50511</v>
      </c>
      <c r="H44" s="354">
        <v>16.024657534246575</v>
      </c>
      <c r="I44" s="381" t="s">
        <v>506</v>
      </c>
      <c r="J44" s="356"/>
      <c r="K44" s="700">
        <v>5.1999999999999998E-2</v>
      </c>
      <c r="L44"/>
      <c r="M44" s="357">
        <v>500000000</v>
      </c>
      <c r="N44" s="358">
        <v>2095639.9999999998</v>
      </c>
      <c r="O44" s="383">
        <v>500000</v>
      </c>
    </row>
    <row r="45" spans="2:15" ht="14.4">
      <c r="B45"/>
      <c r="C45" s="570"/>
      <c r="D45" s="366"/>
      <c r="E45" s="367"/>
      <c r="F45" s="368"/>
      <c r="G45" s="684"/>
      <c r="H45"/>
      <c r="I45" s="385"/>
      <c r="J45" s="385"/>
      <c r="K45" s="703"/>
      <c r="L45" s="343"/>
      <c r="M45" s="386"/>
      <c r="N45" s="362">
        <f>+SUM(N43:N44)</f>
        <v>4610408</v>
      </c>
      <c r="O45" s="362">
        <f>+SUM(O43:O44)</f>
        <v>1100000</v>
      </c>
    </row>
    <row r="46" spans="2:15" ht="14.4">
      <c r="B46"/>
      <c r="C46" s="570"/>
      <c r="D46" s="366"/>
      <c r="E46" s="367"/>
      <c r="F46" s="368"/>
      <c r="G46" s="684"/>
      <c r="H46"/>
      <c r="I46" s="385"/>
      <c r="J46" s="385"/>
      <c r="K46" s="703"/>
      <c r="L46"/>
      <c r="M46" s="385"/>
      <c r="N46" s="349"/>
      <c r="O46" s="350"/>
    </row>
    <row r="47" spans="2:15" ht="14.4" thickBot="1">
      <c r="B47" s="345" t="s">
        <v>528</v>
      </c>
      <c r="C47" s="345"/>
      <c r="D47" s="345"/>
      <c r="E47" s="345"/>
      <c r="F47" s="345"/>
      <c r="G47" s="678"/>
      <c r="H47" s="345"/>
      <c r="I47" s="345"/>
      <c r="J47" s="346"/>
      <c r="K47" s="705"/>
      <c r="L47" s="343"/>
      <c r="M47" s="346"/>
      <c r="N47" s="347">
        <f>+N60</f>
        <v>6796051.7171733864</v>
      </c>
      <c r="O47" s="347">
        <f>+O60</f>
        <v>1621474.0406685756</v>
      </c>
    </row>
    <row r="48" spans="2:15" ht="15" thickTop="1">
      <c r="B48" s="376"/>
      <c r="C48" s="376"/>
      <c r="D48" s="344"/>
      <c r="E48" s="344"/>
      <c r="F48" s="344"/>
      <c r="G48" s="679"/>
      <c r="H48" s="344"/>
      <c r="I48" s="344"/>
      <c r="J48" s="344"/>
      <c r="K48" s="706"/>
      <c r="L48"/>
      <c r="M48" s="344"/>
      <c r="N48" s="349"/>
      <c r="O48" s="350"/>
    </row>
    <row r="49" spans="2:15" ht="13.8">
      <c r="B49" s="775" t="s">
        <v>529</v>
      </c>
      <c r="C49" s="736" t="s">
        <v>572</v>
      </c>
      <c r="D49" s="686" t="s">
        <v>603</v>
      </c>
      <c r="E49" s="687" t="s">
        <v>531</v>
      </c>
      <c r="F49" s="688">
        <v>42824</v>
      </c>
      <c r="G49" s="688">
        <v>45337</v>
      </c>
      <c r="H49" s="689">
        <v>6.8849315068493153</v>
      </c>
      <c r="I49" s="690" t="s">
        <v>604</v>
      </c>
      <c r="J49" s="356" t="s">
        <v>501</v>
      </c>
      <c r="K49" s="708">
        <v>5.0373000000000001E-2</v>
      </c>
      <c r="L49" s="691"/>
      <c r="M49" s="692">
        <v>412365522.17000002</v>
      </c>
      <c r="N49" s="693">
        <v>358636.15657384577</v>
      </c>
      <c r="O49" s="694">
        <v>85567.214925713808</v>
      </c>
    </row>
    <row r="50" spans="2:15" ht="13.8">
      <c r="B50" s="776"/>
      <c r="C50" s="736" t="s">
        <v>572</v>
      </c>
      <c r="D50" s="686" t="s">
        <v>605</v>
      </c>
      <c r="E50" s="687" t="s">
        <v>531</v>
      </c>
      <c r="F50" s="688">
        <v>43222</v>
      </c>
      <c r="G50" s="688">
        <v>45762</v>
      </c>
      <c r="H50" s="689">
        <v>6.9589041095890414</v>
      </c>
      <c r="I50" s="690" t="s">
        <v>604</v>
      </c>
      <c r="J50" s="356" t="s">
        <v>501</v>
      </c>
      <c r="K50" s="708">
        <v>4.7E-2</v>
      </c>
      <c r="L50" s="691"/>
      <c r="M50" s="692">
        <v>835397128.60000002</v>
      </c>
      <c r="N50" s="693">
        <v>726548.65478888771</v>
      </c>
      <c r="O50" s="694">
        <v>173347.67774734393</v>
      </c>
    </row>
    <row r="51" spans="2:15" ht="13.8">
      <c r="B51" s="776"/>
      <c r="C51" s="736" t="s">
        <v>572</v>
      </c>
      <c r="D51" s="686" t="s">
        <v>606</v>
      </c>
      <c r="E51" s="687" t="s">
        <v>531</v>
      </c>
      <c r="F51" s="688">
        <v>43814</v>
      </c>
      <c r="G51" s="688">
        <v>47467</v>
      </c>
      <c r="H51" s="689">
        <v>10.008219178082191</v>
      </c>
      <c r="I51" s="690" t="s">
        <v>604</v>
      </c>
      <c r="J51" s="356" t="s">
        <v>501</v>
      </c>
      <c r="K51" s="708">
        <v>3.5000000000000003E-2</v>
      </c>
      <c r="L51" s="691"/>
      <c r="M51" s="692">
        <v>517520350.45999998</v>
      </c>
      <c r="N51" s="693">
        <v>450089.78554033622</v>
      </c>
      <c r="O51" s="694">
        <v>107387.19091550463</v>
      </c>
    </row>
    <row r="52" spans="2:15" ht="13.8">
      <c r="B52" s="776"/>
      <c r="C52" s="736" t="s">
        <v>572</v>
      </c>
      <c r="D52" s="686" t="s">
        <v>607</v>
      </c>
      <c r="E52" s="687" t="s">
        <v>531</v>
      </c>
      <c r="F52" s="688">
        <v>44172</v>
      </c>
      <c r="G52" s="688">
        <v>47072</v>
      </c>
      <c r="H52" s="689">
        <v>7.9452054794520546</v>
      </c>
      <c r="I52" s="690" t="s">
        <v>537</v>
      </c>
      <c r="J52" s="356" t="s">
        <v>501</v>
      </c>
      <c r="K52" s="708">
        <v>2.8299999999999999E-2</v>
      </c>
      <c r="L52" s="691"/>
      <c r="M52" s="692">
        <v>800000000</v>
      </c>
      <c r="N52" s="693">
        <v>695763.61221779534</v>
      </c>
      <c r="O52" s="694">
        <v>166002.65604249664</v>
      </c>
    </row>
    <row r="53" spans="2:15" ht="13.8">
      <c r="B53" s="776"/>
      <c r="C53" s="736" t="s">
        <v>572</v>
      </c>
      <c r="D53" s="686" t="s">
        <v>608</v>
      </c>
      <c r="E53" s="687" t="s">
        <v>531</v>
      </c>
      <c r="F53" s="688">
        <v>44172</v>
      </c>
      <c r="G53" s="688">
        <v>52732</v>
      </c>
      <c r="H53" s="689">
        <v>23.452054794520549</v>
      </c>
      <c r="I53" s="690" t="s">
        <v>604</v>
      </c>
      <c r="J53" s="356" t="s">
        <v>501</v>
      </c>
      <c r="K53" s="708">
        <v>5.2999999999999999E-2</v>
      </c>
      <c r="L53" s="691"/>
      <c r="M53" s="692">
        <v>891993004.69000006</v>
      </c>
      <c r="N53" s="693">
        <v>775770.34377014916</v>
      </c>
      <c r="O53" s="694">
        <v>185091.50993733399</v>
      </c>
    </row>
    <row r="54" spans="2:15" ht="13.8">
      <c r="B54" s="776"/>
      <c r="C54" s="736" t="s">
        <v>572</v>
      </c>
      <c r="D54" s="686" t="s">
        <v>609</v>
      </c>
      <c r="E54" s="687" t="s">
        <v>531</v>
      </c>
      <c r="F54" s="688">
        <v>44238</v>
      </c>
      <c r="G54" s="688">
        <v>52793</v>
      </c>
      <c r="H54" s="689">
        <v>23.438356164383563</v>
      </c>
      <c r="I54" s="690" t="s">
        <v>604</v>
      </c>
      <c r="J54" s="356" t="s">
        <v>501</v>
      </c>
      <c r="K54" s="708">
        <v>5.0700000000000002E-2</v>
      </c>
      <c r="L54" s="695"/>
      <c r="M54" s="692">
        <v>845395085.08000004</v>
      </c>
      <c r="N54" s="693">
        <v>735243.92268303921</v>
      </c>
      <c r="O54" s="694">
        <v>175422.2869106906</v>
      </c>
    </row>
    <row r="55" spans="2:15" ht="13.8">
      <c r="B55" s="776"/>
      <c r="C55" s="736" t="s">
        <v>572</v>
      </c>
      <c r="D55" s="686" t="s">
        <v>1209</v>
      </c>
      <c r="E55" s="687" t="s">
        <v>531</v>
      </c>
      <c r="F55" s="688">
        <v>44323</v>
      </c>
      <c r="G55" s="688">
        <v>45418</v>
      </c>
      <c r="H55" s="689">
        <v>3</v>
      </c>
      <c r="I55" s="690" t="s">
        <v>537</v>
      </c>
      <c r="J55" s="356" t="s">
        <v>501</v>
      </c>
      <c r="K55" s="708">
        <v>1.2500000000000001E-2</v>
      </c>
      <c r="L55" s="691"/>
      <c r="M55" s="692">
        <v>1200000000</v>
      </c>
      <c r="N55" s="693">
        <v>1043645.418326693</v>
      </c>
      <c r="O55" s="694">
        <v>249003.98406374498</v>
      </c>
    </row>
    <row r="56" spans="2:15" ht="13.8">
      <c r="B56" s="776"/>
      <c r="C56" s="736" t="s">
        <v>572</v>
      </c>
      <c r="D56" s="686" t="s">
        <v>610</v>
      </c>
      <c r="E56" s="687" t="s">
        <v>531</v>
      </c>
      <c r="F56" s="688">
        <v>44497</v>
      </c>
      <c r="G56" s="688">
        <v>48136</v>
      </c>
      <c r="H56" s="689">
        <v>9.9698630136986299</v>
      </c>
      <c r="I56" s="690" t="s">
        <v>604</v>
      </c>
      <c r="J56" s="356" t="s">
        <v>501</v>
      </c>
      <c r="K56" s="708">
        <v>5.7709999999999997E-2</v>
      </c>
      <c r="L56" s="691"/>
      <c r="M56" s="692">
        <v>746990581.50999999</v>
      </c>
      <c r="N56" s="693">
        <v>649661.08160508645</v>
      </c>
      <c r="O56" s="694">
        <v>155003.02571173641</v>
      </c>
    </row>
    <row r="57" spans="2:15" ht="13.8">
      <c r="B57" s="776"/>
      <c r="C57" s="736" t="s">
        <v>572</v>
      </c>
      <c r="D57" s="686" t="s">
        <v>611</v>
      </c>
      <c r="E57" s="687" t="s">
        <v>531</v>
      </c>
      <c r="F57" s="688">
        <v>44497</v>
      </c>
      <c r="G57" s="688">
        <v>50693</v>
      </c>
      <c r="H57" s="689">
        <v>16.975342465753425</v>
      </c>
      <c r="I57" s="690" t="s">
        <v>604</v>
      </c>
      <c r="J57" s="356" t="s">
        <v>501</v>
      </c>
      <c r="K57" s="708">
        <v>5.8639999999999998E-2</v>
      </c>
      <c r="L57" s="691"/>
      <c r="M57" s="692">
        <v>314546024.27999997</v>
      </c>
      <c r="N57" s="693">
        <v>273562.09757724893</v>
      </c>
      <c r="O57" s="694">
        <v>65269.344347609549</v>
      </c>
    </row>
    <row r="58" spans="2:15" ht="13.8">
      <c r="B58" s="776"/>
      <c r="C58" s="737" t="s">
        <v>572</v>
      </c>
      <c r="D58" s="686" t="s">
        <v>612</v>
      </c>
      <c r="E58" s="687" t="s">
        <v>531</v>
      </c>
      <c r="F58" s="688">
        <v>44669</v>
      </c>
      <c r="G58" s="688">
        <v>47223</v>
      </c>
      <c r="H58" s="689">
        <v>6.9972602739726026</v>
      </c>
      <c r="I58" s="690" t="s">
        <v>537</v>
      </c>
      <c r="J58" s="356" t="s">
        <v>501</v>
      </c>
      <c r="K58" s="708">
        <v>1.55E-2</v>
      </c>
      <c r="L58" s="691"/>
      <c r="M58" s="692">
        <v>700000000</v>
      </c>
      <c r="N58" s="693">
        <v>608793.16069057095</v>
      </c>
      <c r="O58" s="694">
        <v>145252.32403718459</v>
      </c>
    </row>
    <row r="59" spans="2:15" ht="13.8">
      <c r="B59" s="777"/>
      <c r="C59" s="737" t="s">
        <v>572</v>
      </c>
      <c r="D59" s="686" t="s">
        <v>1194</v>
      </c>
      <c r="E59" s="687" t="s">
        <v>531</v>
      </c>
      <c r="F59" s="688">
        <v>45009</v>
      </c>
      <c r="G59" s="688">
        <v>47557</v>
      </c>
      <c r="H59" s="689">
        <v>6.9808219178082194</v>
      </c>
      <c r="I59" s="690" t="s">
        <v>537</v>
      </c>
      <c r="J59" s="356" t="s">
        <v>501</v>
      </c>
      <c r="K59" s="708">
        <v>1.4999999999999999E-2</v>
      </c>
      <c r="L59" s="691"/>
      <c r="M59" s="692">
        <v>550000000</v>
      </c>
      <c r="N59" s="693">
        <v>478337.48339973425</v>
      </c>
      <c r="O59" s="694">
        <v>114126.82602921645</v>
      </c>
    </row>
    <row r="60" spans="2:15" ht="14.4">
      <c r="B60"/>
      <c r="C60" s="570"/>
      <c r="D60" s="366"/>
      <c r="E60" s="367"/>
      <c r="F60" s="368"/>
      <c r="G60" s="684"/>
      <c r="H60" s="370"/>
      <c r="I60" s="367"/>
      <c r="J60" s="367"/>
      <c r="K60" s="702"/>
      <c r="L60"/>
      <c r="M60" s="387"/>
      <c r="N60" s="362">
        <f>+SUM(N49:N59)</f>
        <v>6796051.7171733864</v>
      </c>
      <c r="O60" s="362">
        <f>+SUM(O49:O59)</f>
        <v>1621474.0406685756</v>
      </c>
    </row>
    <row r="61" spans="2:15" ht="14.4">
      <c r="B61"/>
      <c r="C61" s="570"/>
      <c r="D61" s="366"/>
      <c r="E61" s="367"/>
      <c r="F61" s="368"/>
      <c r="G61" s="684"/>
      <c r="H61" s="370"/>
      <c r="I61" s="367"/>
      <c r="J61" s="367"/>
      <c r="K61" s="709"/>
      <c r="L61" s="343"/>
      <c r="M61" s="387"/>
      <c r="N61" s="349"/>
      <c r="O61" s="350"/>
    </row>
    <row r="62" spans="2:15" ht="14.4">
      <c r="B62"/>
      <c r="C62" s="570"/>
      <c r="D62" s="366"/>
      <c r="E62" s="367"/>
      <c r="F62" s="368"/>
      <c r="G62" s="684"/>
      <c r="H62" s="370"/>
      <c r="I62" s="367"/>
      <c r="J62" s="367"/>
      <c r="K62" s="709"/>
      <c r="L62"/>
      <c r="M62" s="387"/>
      <c r="N62" s="349"/>
      <c r="O62" s="350"/>
    </row>
    <row r="63" spans="2:15" ht="14.4" thickBot="1">
      <c r="B63" s="345" t="s">
        <v>550</v>
      </c>
      <c r="C63" s="345"/>
      <c r="D63" s="345"/>
      <c r="E63" s="345"/>
      <c r="F63" s="345"/>
      <c r="G63" s="678"/>
      <c r="H63" s="345"/>
      <c r="I63" s="345"/>
      <c r="J63" s="346"/>
      <c r="K63" s="705"/>
      <c r="L63" s="343"/>
      <c r="M63" s="346"/>
      <c r="N63" s="347">
        <f>+N69+N73+N76</f>
        <v>9220172.9241184574</v>
      </c>
      <c r="O63" s="347">
        <f>+O69+O73+O76</f>
        <v>2199846.5681411065</v>
      </c>
    </row>
    <row r="64" spans="2:15" ht="15" thickTop="1">
      <c r="B64" s="376"/>
      <c r="C64" s="376"/>
      <c r="D64" s="344"/>
      <c r="E64" s="344"/>
      <c r="F64" s="344"/>
      <c r="G64" s="679"/>
      <c r="H64" s="344"/>
      <c r="I64" s="344"/>
      <c r="J64" s="344"/>
      <c r="K64" s="706"/>
      <c r="L64"/>
      <c r="M64" s="389"/>
      <c r="N64" s="349"/>
      <c r="O64" s="350"/>
    </row>
    <row r="65" spans="2:15" ht="14.1" customHeight="1">
      <c r="B65" s="781" t="s">
        <v>613</v>
      </c>
      <c r="C65" s="374" t="s">
        <v>572</v>
      </c>
      <c r="D65" s="351" t="s">
        <v>614</v>
      </c>
      <c r="E65" s="375" t="s">
        <v>556</v>
      </c>
      <c r="F65" s="353">
        <v>43266</v>
      </c>
      <c r="G65" s="680">
        <v>45823</v>
      </c>
      <c r="H65" s="354">
        <v>7.0054794520547947</v>
      </c>
      <c r="I65" s="381" t="s">
        <v>506</v>
      </c>
      <c r="J65" s="356"/>
      <c r="K65" s="700">
        <v>4.8500000000000001E-2</v>
      </c>
      <c r="L65" s="343"/>
      <c r="M65" s="357">
        <v>3866666.6686</v>
      </c>
      <c r="N65" s="358">
        <v>729581.50485363055</v>
      </c>
      <c r="O65" s="383">
        <v>174071.28725678805</v>
      </c>
    </row>
    <row r="66" spans="2:15" ht="14.4">
      <c r="B66" s="782"/>
      <c r="C66" s="374" t="s">
        <v>572</v>
      </c>
      <c r="D66" s="351" t="s">
        <v>615</v>
      </c>
      <c r="E66" s="375" t="s">
        <v>556</v>
      </c>
      <c r="F66" s="353">
        <v>43266</v>
      </c>
      <c r="G66" s="680">
        <v>47832</v>
      </c>
      <c r="H66" s="354">
        <v>12.509589041095891</v>
      </c>
      <c r="I66" s="381" t="s">
        <v>506</v>
      </c>
      <c r="J66" s="356"/>
      <c r="K66" s="700">
        <v>3.2000000000000001E-2</v>
      </c>
      <c r="L66"/>
      <c r="M66" s="357">
        <v>9922873.5698111001</v>
      </c>
      <c r="N66" s="358">
        <v>1872296.127909136</v>
      </c>
      <c r="O66" s="383">
        <v>446712.25208268984</v>
      </c>
    </row>
    <row r="67" spans="2:15" ht="13.8">
      <c r="B67" s="782"/>
      <c r="C67" s="374" t="s">
        <v>572</v>
      </c>
      <c r="D67" s="351" t="s">
        <v>616</v>
      </c>
      <c r="E67" s="375" t="s">
        <v>556</v>
      </c>
      <c r="F67" s="353">
        <v>43266</v>
      </c>
      <c r="G67" s="680">
        <v>45641</v>
      </c>
      <c r="H67" s="354">
        <v>6.506849315068493</v>
      </c>
      <c r="I67" s="381" t="s">
        <v>506</v>
      </c>
      <c r="J67" s="356"/>
      <c r="K67" s="700">
        <v>2.3E-2</v>
      </c>
      <c r="L67" s="343"/>
      <c r="M67" s="357">
        <v>550000</v>
      </c>
      <c r="N67" s="358">
        <v>103776.67951780908</v>
      </c>
      <c r="O67" s="383">
        <v>24760.139985352704</v>
      </c>
    </row>
    <row r="68" spans="2:15" ht="14.4">
      <c r="B68" s="783"/>
      <c r="C68" s="374" t="s">
        <v>572</v>
      </c>
      <c r="D68" s="351" t="s">
        <v>617</v>
      </c>
      <c r="E68" s="375" t="s">
        <v>556</v>
      </c>
      <c r="F68" s="353">
        <v>43266</v>
      </c>
      <c r="G68" s="680">
        <v>47832</v>
      </c>
      <c r="H68" s="354">
        <v>12.509589041095891</v>
      </c>
      <c r="I68" s="381" t="s">
        <v>506</v>
      </c>
      <c r="J68" s="356"/>
      <c r="K68" s="700">
        <v>2.3E-2</v>
      </c>
      <c r="L68"/>
      <c r="M68" s="357">
        <v>5057173.1233999999</v>
      </c>
      <c r="N68" s="358">
        <v>954212.06271483516</v>
      </c>
      <c r="O68" s="383">
        <v>227666.0263009952</v>
      </c>
    </row>
    <row r="69" spans="2:15" ht="14.4">
      <c r="B69"/>
      <c r="C69" s="570"/>
      <c r="D69" s="366"/>
      <c r="E69" s="367"/>
      <c r="F69" s="368"/>
      <c r="G69" s="684"/>
      <c r="H69" s="370"/>
      <c r="I69" s="390"/>
      <c r="J69" s="391"/>
      <c r="K69" s="704"/>
      <c r="L69" s="343"/>
      <c r="M69" s="343"/>
      <c r="N69" s="362">
        <f>+SUM(N65:N68)</f>
        <v>3659866.3749954109</v>
      </c>
      <c r="O69" s="362">
        <f>+SUM(O65:O68)</f>
        <v>873209.70562582579</v>
      </c>
    </row>
    <row r="70" spans="2:15" ht="14.4">
      <c r="B70"/>
      <c r="C70" s="570"/>
      <c r="D70" s="366"/>
      <c r="E70" s="367"/>
      <c r="F70" s="368"/>
      <c r="G70" s="684"/>
      <c r="H70" s="370"/>
      <c r="I70" s="390"/>
      <c r="J70" s="391"/>
      <c r="K70" s="704"/>
      <c r="L70"/>
      <c r="M70" s="392"/>
      <c r="N70" s="349"/>
      <c r="O70" s="350"/>
    </row>
    <row r="71" spans="2:15" ht="14.4">
      <c r="B71" s="784" t="s">
        <v>561</v>
      </c>
      <c r="C71" s="636" t="s">
        <v>572</v>
      </c>
      <c r="D71" s="636" t="s">
        <v>618</v>
      </c>
      <c r="E71" s="531" t="s">
        <v>556</v>
      </c>
      <c r="F71" s="637">
        <v>44232</v>
      </c>
      <c r="G71" s="685">
        <v>54969</v>
      </c>
      <c r="H71" s="641">
        <v>29.416438356164385</v>
      </c>
      <c r="I71" s="642" t="s">
        <v>506</v>
      </c>
      <c r="J71" s="643"/>
      <c r="K71" s="710">
        <v>3.85E-2</v>
      </c>
      <c r="L71"/>
      <c r="M71" s="638">
        <v>885500</v>
      </c>
      <c r="N71" s="639">
        <v>167080.45547403386</v>
      </c>
      <c r="O71" s="640">
        <v>39863.825722460409</v>
      </c>
    </row>
    <row r="72" spans="2:15" ht="14.4">
      <c r="B72" s="784"/>
      <c r="C72" s="636" t="s">
        <v>572</v>
      </c>
      <c r="D72" s="636" t="s">
        <v>614</v>
      </c>
      <c r="E72" s="531" t="s">
        <v>556</v>
      </c>
      <c r="F72" s="637">
        <v>44880</v>
      </c>
      <c r="G72" s="685">
        <v>54969</v>
      </c>
      <c r="H72" s="641">
        <v>27.641095890410959</v>
      </c>
      <c r="I72" s="642" t="s">
        <v>506</v>
      </c>
      <c r="J72" s="643"/>
      <c r="K72" s="710">
        <v>3.85E-2</v>
      </c>
      <c r="L72"/>
      <c r="M72" s="638">
        <v>1927500</v>
      </c>
      <c r="N72" s="639">
        <v>363690.09364901215</v>
      </c>
      <c r="O72" s="640">
        <v>86773.036792820378</v>
      </c>
    </row>
    <row r="73" spans="2:15" ht="14.4">
      <c r="B73"/>
      <c r="C73" s="570"/>
      <c r="D73" s="366"/>
      <c r="E73" s="367"/>
      <c r="F73" s="368"/>
      <c r="G73" s="684"/>
      <c r="H73" s="370"/>
      <c r="I73" s="367"/>
      <c r="J73" s="367"/>
      <c r="K73" s="709"/>
      <c r="L73" s="343"/>
      <c r="M73" s="387"/>
      <c r="N73" s="635">
        <f>+SUM(N71:N72)</f>
        <v>530770.54912304599</v>
      </c>
      <c r="O73" s="635">
        <f>+SUM(O71:O72)</f>
        <v>126636.86251528078</v>
      </c>
    </row>
    <row r="74" spans="2:15" ht="14.4">
      <c r="B74"/>
      <c r="C74" s="570"/>
      <c r="D74" s="366"/>
      <c r="E74" s="367"/>
      <c r="F74" s="368"/>
      <c r="G74" s="684"/>
      <c r="H74" s="370"/>
      <c r="I74" s="391"/>
      <c r="J74" s="391"/>
      <c r="K74" s="704"/>
      <c r="L74" s="361"/>
      <c r="M74" s="361"/>
      <c r="N74" s="361"/>
      <c r="O74" s="361"/>
    </row>
    <row r="75" spans="2:15" ht="13.8">
      <c r="B75" s="388" t="s">
        <v>619</v>
      </c>
      <c r="C75" s="738" t="s">
        <v>572</v>
      </c>
      <c r="D75" s="696" t="s">
        <v>620</v>
      </c>
      <c r="E75" s="697" t="s">
        <v>518</v>
      </c>
      <c r="F75" s="688">
        <v>44403</v>
      </c>
      <c r="G75" s="688">
        <v>57161</v>
      </c>
      <c r="H75" s="689">
        <v>34.953424657534249</v>
      </c>
      <c r="I75" s="690" t="s">
        <v>506</v>
      </c>
      <c r="J75" s="698">
        <v>0</v>
      </c>
      <c r="K75" s="708">
        <v>4.4999999999999998E-2</v>
      </c>
      <c r="L75" s="691"/>
      <c r="M75" s="692">
        <v>1200000000</v>
      </c>
      <c r="N75" s="693">
        <v>5029536</v>
      </c>
      <c r="O75" s="694">
        <v>1200000</v>
      </c>
    </row>
    <row r="76" spans="2:15" ht="14.4">
      <c r="B76"/>
      <c r="C76" s="570"/>
      <c r="D76" s="366"/>
      <c r="E76" s="367"/>
      <c r="F76" s="368"/>
      <c r="G76" s="684"/>
      <c r="H76" s="370"/>
      <c r="I76" s="367"/>
      <c r="J76" s="367"/>
      <c r="K76" s="709"/>
      <c r="L76" s="343"/>
      <c r="M76" s="387"/>
      <c r="N76" s="362">
        <f>+N75</f>
        <v>5029536</v>
      </c>
      <c r="O76" s="363">
        <f>+O75</f>
        <v>1200000</v>
      </c>
    </row>
    <row r="77" spans="2:15" ht="14.4">
      <c r="B77"/>
      <c r="C77" s="570"/>
      <c r="D77" s="366"/>
      <c r="E77" s="367"/>
      <c r="F77" s="368"/>
      <c r="G77" s="684"/>
      <c r="H77" s="370"/>
      <c r="I77" s="391"/>
      <c r="J77" s="391"/>
      <c r="K77" s="361"/>
      <c r="L77" s="361"/>
      <c r="M77" s="361"/>
      <c r="N77" s="361"/>
      <c r="O77" s="361"/>
    </row>
    <row r="78" spans="2:15" ht="14.4">
      <c r="B78"/>
      <c r="C78"/>
      <c r="D78" s="366"/>
      <c r="E78" s="367"/>
      <c r="F78" s="368"/>
      <c r="G78" s="684"/>
      <c r="H78" s="370"/>
      <c r="I78" s="391"/>
      <c r="J78" s="391"/>
      <c r="K78" s="391"/>
      <c r="L78"/>
      <c r="M78" s="391"/>
      <c r="N78" s="349"/>
      <c r="O78" s="350"/>
    </row>
    <row r="79" spans="2:15" ht="14.4" thickBot="1">
      <c r="B79" s="778" t="s">
        <v>621</v>
      </c>
      <c r="C79" s="778"/>
      <c r="D79" s="778"/>
      <c r="E79" s="778"/>
      <c r="F79" s="778"/>
      <c r="G79" s="778"/>
      <c r="H79" s="778"/>
      <c r="I79" s="778"/>
      <c r="J79" s="621"/>
      <c r="K79" s="621"/>
      <c r="L79" s="343"/>
      <c r="M79" s="621"/>
      <c r="N79" s="394">
        <f>+N5+N37+N47+N63</f>
        <v>26808985.94394175</v>
      </c>
      <c r="O79" s="394">
        <f>+O5+O37+O47+O63</f>
        <v>6396371.9779975936</v>
      </c>
    </row>
    <row r="80" spans="2:15" ht="15" thickTop="1">
      <c r="B80"/>
      <c r="C80"/>
      <c r="D80"/>
      <c r="E80"/>
      <c r="F80"/>
      <c r="G80" s="302"/>
      <c r="H80"/>
      <c r="I80"/>
      <c r="J80"/>
      <c r="K80" s="48"/>
      <c r="L80"/>
      <c r="M80"/>
      <c r="N80"/>
      <c r="O80"/>
    </row>
    <row r="81" spans="2:15" ht="14.4">
      <c r="B81" s="644" t="s">
        <v>622</v>
      </c>
      <c r="C81"/>
      <c r="D81"/>
      <c r="E81" s="395"/>
      <c r="F81" s="395"/>
      <c r="G81" s="404"/>
      <c r="H81" s="395"/>
      <c r="I81" s="395"/>
      <c r="J81" s="395"/>
      <c r="K81" s="402"/>
      <c r="L81" s="343"/>
      <c r="M81" s="573"/>
      <c r="N81" s="396"/>
      <c r="O81" s="396"/>
    </row>
    <row r="82" spans="2:15" ht="14.4">
      <c r="B82" s="644" t="s">
        <v>623</v>
      </c>
      <c r="C82"/>
      <c r="D82"/>
      <c r="E82" s="395"/>
      <c r="F82" s="395"/>
      <c r="G82" s="404"/>
      <c r="H82" s="395"/>
      <c r="I82" s="395"/>
      <c r="J82" s="395"/>
      <c r="K82" s="402"/>
      <c r="L82"/>
      <c r="M82" s="397"/>
      <c r="N82" s="396"/>
      <c r="O82"/>
    </row>
    <row r="83" spans="2:15" ht="14.4">
      <c r="B83" s="644" t="s">
        <v>624</v>
      </c>
      <c r="C83"/>
      <c r="D83"/>
      <c r="E83" s="395"/>
      <c r="F83" s="395"/>
      <c r="G83" s="404"/>
      <c r="H83" s="395"/>
      <c r="I83" s="395"/>
      <c r="J83" s="395"/>
      <c r="K83" s="402"/>
      <c r="L83" s="343"/>
      <c r="M83" s="397"/>
      <c r="N83" s="398"/>
      <c r="O83"/>
    </row>
    <row r="84" spans="2:15" ht="14.4">
      <c r="B84"/>
      <c r="C84"/>
      <c r="D84"/>
      <c r="E84" s="395"/>
      <c r="F84" s="395"/>
      <c r="G84" s="404"/>
      <c r="H84"/>
      <c r="I84"/>
      <c r="J84"/>
      <c r="K84" s="48"/>
      <c r="L84" s="343"/>
      <c r="M84" s="397"/>
      <c r="N84" s="401"/>
      <c r="O84" s="402"/>
    </row>
    <row r="85" spans="2:15" ht="14.4">
      <c r="B85" s="622"/>
      <c r="C85" s="622"/>
      <c r="D85" s="622"/>
      <c r="E85" s="622"/>
      <c r="F85" s="622"/>
      <c r="G85" s="677"/>
      <c r="H85" s="622"/>
      <c r="I85" s="622"/>
      <c r="J85" s="622"/>
      <c r="K85" s="622"/>
      <c r="L85"/>
      <c r="M85" s="622"/>
      <c r="N85" s="622"/>
      <c r="O85" s="622"/>
    </row>
    <row r="86" spans="2:15" ht="14.4">
      <c r="B86" s="622"/>
      <c r="C86" s="622"/>
      <c r="D86" s="622"/>
      <c r="E86" s="622"/>
      <c r="F86" s="622"/>
      <c r="G86" s="677"/>
      <c r="H86" s="622"/>
      <c r="I86" s="622"/>
      <c r="J86" s="622"/>
      <c r="K86" s="622"/>
      <c r="L86"/>
      <c r="M86" s="622"/>
      <c r="N86" s="622"/>
      <c r="O86" s="622"/>
    </row>
    <row r="87" spans="2:15" ht="14.4">
      <c r="B87" s="622"/>
      <c r="C87" s="622"/>
      <c r="D87" s="622"/>
      <c r="E87" s="622"/>
      <c r="F87" s="622"/>
      <c r="G87" s="677"/>
      <c r="H87" s="622"/>
      <c r="I87" s="622"/>
      <c r="J87" s="622"/>
      <c r="K87" s="622"/>
      <c r="L87"/>
      <c r="M87" s="622"/>
      <c r="N87" s="622"/>
      <c r="O87" s="622"/>
    </row>
    <row r="88" spans="2:15" ht="14.4">
      <c r="B88" s="622"/>
      <c r="C88" s="622"/>
      <c r="D88" s="622"/>
      <c r="E88" s="622"/>
      <c r="F88" s="622"/>
      <c r="G88" s="677"/>
      <c r="H88" s="622"/>
      <c r="I88" s="622"/>
      <c r="J88" s="622"/>
      <c r="K88" s="622"/>
      <c r="L88"/>
      <c r="M88" s="622"/>
      <c r="N88" s="622"/>
      <c r="O88" s="622"/>
    </row>
    <row r="89" spans="2:15" ht="14.4">
      <c r="B89" s="622"/>
      <c r="C89" s="622"/>
      <c r="D89" s="622"/>
      <c r="E89" s="622"/>
      <c r="F89" s="622"/>
      <c r="G89" s="677"/>
      <c r="H89" s="622"/>
      <c r="I89" s="622"/>
      <c r="J89" s="622"/>
      <c r="K89" s="622"/>
      <c r="L89"/>
      <c r="M89" s="622"/>
      <c r="N89" s="622"/>
      <c r="O89" s="622"/>
    </row>
    <row r="90" spans="2:15" ht="14.4">
      <c r="B90" s="622"/>
      <c r="C90" s="622"/>
      <c r="D90" s="622"/>
      <c r="E90" s="622"/>
      <c r="F90" s="622"/>
      <c r="G90" s="677"/>
      <c r="H90" s="622"/>
      <c r="I90" s="622"/>
      <c r="J90" s="622"/>
      <c r="K90" s="622"/>
      <c r="L90"/>
      <c r="M90" s="622"/>
      <c r="N90" s="622"/>
      <c r="O90" s="622"/>
    </row>
    <row r="91" spans="2:15" ht="14.4">
      <c r="B91" s="622"/>
      <c r="C91" s="622"/>
      <c r="D91" s="622"/>
      <c r="E91" s="622"/>
      <c r="F91" s="622"/>
      <c r="G91" s="677"/>
      <c r="H91" s="622"/>
      <c r="I91" s="622"/>
      <c r="J91" s="622"/>
      <c r="K91" s="622"/>
      <c r="L91"/>
      <c r="M91" s="622"/>
      <c r="N91" s="622"/>
      <c r="O91" s="622"/>
    </row>
    <row r="92" spans="2:15" ht="14.4">
      <c r="B92" s="622"/>
      <c r="C92" s="622"/>
      <c r="D92" s="622"/>
      <c r="E92" s="622"/>
      <c r="F92" s="622"/>
      <c r="G92" s="677"/>
      <c r="H92" s="622"/>
      <c r="I92" s="622"/>
      <c r="J92" s="622"/>
      <c r="K92" s="622"/>
      <c r="L92"/>
      <c r="M92" s="622"/>
      <c r="N92" s="622"/>
      <c r="O92" s="622"/>
    </row>
  </sheetData>
  <mergeCells count="8">
    <mergeCell ref="B7:B27"/>
    <mergeCell ref="B79:I79"/>
    <mergeCell ref="B30:B31"/>
    <mergeCell ref="B39:B40"/>
    <mergeCell ref="B43:B44"/>
    <mergeCell ref="B49:B59"/>
    <mergeCell ref="B65:B68"/>
    <mergeCell ref="B71:B72"/>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dimension ref="A1:Q116"/>
  <sheetViews>
    <sheetView showGridLines="0" zoomScale="80" zoomScaleNormal="80" workbookViewId="0">
      <selection activeCell="M13" sqref="M13"/>
    </sheetView>
  </sheetViews>
  <sheetFormatPr baseColWidth="10" defaultColWidth="10.88671875" defaultRowHeight="13.2"/>
  <cols>
    <col min="1" max="1" width="2.5546875" style="400" customWidth="1"/>
    <col min="2" max="2" width="22.5546875" style="400" customWidth="1"/>
    <col min="3" max="3" width="37.109375" style="400" customWidth="1"/>
    <col min="4" max="6" width="13.6640625" style="400" customWidth="1"/>
    <col min="7" max="8" width="10.88671875" style="400"/>
    <col min="9" max="9" width="2.88671875" style="400" customWidth="1"/>
    <col min="10" max="10" width="10.88671875" style="664"/>
    <col min="11" max="11" width="6.44140625" style="400" customWidth="1"/>
    <col min="12" max="12" width="20.88671875" style="400" customWidth="1"/>
    <col min="13" max="13" width="16.6640625" style="400" customWidth="1"/>
    <col min="14" max="14" width="14.88671875" style="400" bestFit="1" customWidth="1"/>
    <col min="15" max="16384" width="10.88671875" style="400"/>
  </cols>
  <sheetData>
    <row r="1" spans="1:17" ht="14.4">
      <c r="A1" s="1" t="s">
        <v>37</v>
      </c>
    </row>
    <row r="3" spans="1:17" ht="13.8">
      <c r="K3" s="60"/>
      <c r="M3" s="61"/>
      <c r="N3" s="61"/>
      <c r="P3" s="789"/>
      <c r="Q3" s="789"/>
    </row>
    <row r="4" spans="1:17" ht="39.6">
      <c r="B4" s="659" t="s">
        <v>489</v>
      </c>
      <c r="C4" s="660" t="s">
        <v>490</v>
      </c>
      <c r="D4" s="661" t="s">
        <v>491</v>
      </c>
      <c r="E4" s="662" t="s">
        <v>492</v>
      </c>
      <c r="F4" s="663" t="s">
        <v>493</v>
      </c>
      <c r="G4" s="662" t="s">
        <v>494</v>
      </c>
      <c r="H4" s="790" t="s">
        <v>495</v>
      </c>
      <c r="I4" s="791"/>
      <c r="J4" s="792"/>
      <c r="K4" s="55"/>
      <c r="L4" s="768" t="s">
        <v>1236</v>
      </c>
      <c r="M4" s="768" t="s">
        <v>1237</v>
      </c>
      <c r="N4" s="768" t="s">
        <v>1238</v>
      </c>
    </row>
    <row r="5" spans="1:17" ht="13.8">
      <c r="B5" s="344"/>
      <c r="C5" s="344"/>
      <c r="D5" s="344"/>
      <c r="E5" s="344"/>
      <c r="F5" s="344"/>
      <c r="G5" s="344"/>
      <c r="H5" s="344"/>
      <c r="I5" s="344"/>
      <c r="J5" s="665"/>
      <c r="K5" s="60"/>
      <c r="L5" s="344"/>
      <c r="M5" s="344"/>
      <c r="N5" s="344"/>
    </row>
    <row r="6" spans="1:17" ht="14.4" thickBot="1">
      <c r="B6" s="345" t="s">
        <v>496</v>
      </c>
      <c r="C6" s="345"/>
      <c r="D6" s="345"/>
      <c r="E6" s="345"/>
      <c r="F6" s="345"/>
      <c r="G6" s="345"/>
      <c r="H6" s="345"/>
      <c r="I6" s="574"/>
      <c r="J6" s="666"/>
      <c r="K6" s="55"/>
      <c r="L6" s="346"/>
      <c r="M6" s="347">
        <f>+M15+M20+M37+M8</f>
        <v>1777386.3631753398</v>
      </c>
      <c r="N6" s="348">
        <f>+N15+N20+N37+N8</f>
        <v>424067.6745947157</v>
      </c>
    </row>
    <row r="7" spans="1:17" ht="14.4" thickTop="1">
      <c r="B7" s="376"/>
      <c r="C7" s="344"/>
      <c r="D7" s="344"/>
      <c r="E7" s="344"/>
      <c r="F7" s="344"/>
      <c r="G7" s="344"/>
      <c r="H7" s="344"/>
      <c r="I7" s="344"/>
      <c r="J7" s="665"/>
      <c r="K7" s="60"/>
      <c r="L7" s="344"/>
      <c r="M7" s="349"/>
      <c r="N7" s="349"/>
    </row>
    <row r="8" spans="1:17" ht="13.8">
      <c r="B8" s="747" t="s">
        <v>14</v>
      </c>
      <c r="C8" s="747" t="s">
        <v>498</v>
      </c>
      <c r="D8" s="747" t="s">
        <v>499</v>
      </c>
      <c r="E8" s="747">
        <v>45041</v>
      </c>
      <c r="F8" s="747">
        <v>47598</v>
      </c>
      <c r="G8" s="747">
        <v>7.0054794520547947</v>
      </c>
      <c r="H8" s="748" t="s">
        <v>513</v>
      </c>
      <c r="I8" s="749" t="s">
        <v>526</v>
      </c>
      <c r="J8" s="750">
        <v>2.4400000000000002E-2</v>
      </c>
      <c r="K8" s="60"/>
      <c r="L8" s="747">
        <v>450000000000</v>
      </c>
      <c r="M8" s="751">
        <v>450000</v>
      </c>
      <c r="N8" s="751">
        <v>107365.76892977803</v>
      </c>
    </row>
    <row r="9" spans="1:17" ht="13.8">
      <c r="B9" s="376"/>
      <c r="C9" s="344"/>
      <c r="D9" s="344"/>
      <c r="E9" s="344"/>
      <c r="F9" s="344"/>
      <c r="G9" s="344"/>
      <c r="H9" s="344"/>
      <c r="I9" s="344"/>
      <c r="J9" s="665"/>
      <c r="K9" s="60"/>
      <c r="L9" s="344"/>
      <c r="M9" s="349"/>
      <c r="N9" s="349"/>
    </row>
    <row r="10" spans="1:17" ht="13.8">
      <c r="B10" s="779" t="s">
        <v>497</v>
      </c>
      <c r="C10" s="406" t="s">
        <v>498</v>
      </c>
      <c r="D10" s="431" t="s">
        <v>499</v>
      </c>
      <c r="E10" s="353">
        <v>42725</v>
      </c>
      <c r="F10" s="353">
        <v>46767</v>
      </c>
      <c r="G10" s="354">
        <v>11.073972602739726</v>
      </c>
      <c r="H10" s="575" t="s">
        <v>500</v>
      </c>
      <c r="I10" s="403" t="s">
        <v>526</v>
      </c>
      <c r="J10" s="667">
        <v>7.4999999999999997E-2</v>
      </c>
      <c r="K10" s="60"/>
      <c r="L10" s="383">
        <v>188999999997</v>
      </c>
      <c r="M10" s="383">
        <v>188999.99999074952</v>
      </c>
      <c r="N10" s="383">
        <v>45093.622948299686</v>
      </c>
    </row>
    <row r="11" spans="1:17" ht="13.8">
      <c r="B11" s="785"/>
      <c r="C11" s="406" t="s">
        <v>502</v>
      </c>
      <c r="D11" s="431" t="s">
        <v>499</v>
      </c>
      <c r="E11" s="353">
        <v>42725</v>
      </c>
      <c r="F11" s="353">
        <v>48959</v>
      </c>
      <c r="G11" s="354">
        <v>17.079452054794519</v>
      </c>
      <c r="H11" s="575" t="s">
        <v>500</v>
      </c>
      <c r="I11" s="403" t="s">
        <v>526</v>
      </c>
      <c r="J11" s="667">
        <v>0.09</v>
      </c>
      <c r="K11" s="60"/>
      <c r="L11" s="383">
        <v>143999999999</v>
      </c>
      <c r="M11" s="383">
        <v>143999.9999942377</v>
      </c>
      <c r="N11" s="383">
        <v>34357.04605615414</v>
      </c>
    </row>
    <row r="12" spans="1:17" ht="13.8">
      <c r="B12" s="785"/>
      <c r="C12" s="406" t="s">
        <v>503</v>
      </c>
      <c r="D12" s="431" t="s">
        <v>499</v>
      </c>
      <c r="E12" s="353">
        <v>42725</v>
      </c>
      <c r="F12" s="353">
        <v>48959</v>
      </c>
      <c r="G12" s="354">
        <v>17.079452054794519</v>
      </c>
      <c r="H12" s="575" t="s">
        <v>500</v>
      </c>
      <c r="I12" s="403" t="s">
        <v>526</v>
      </c>
      <c r="J12" s="667">
        <v>0.09</v>
      </c>
      <c r="K12" s="60"/>
      <c r="L12" s="383">
        <v>143999999999</v>
      </c>
      <c r="M12" s="383">
        <v>143999.9999942377</v>
      </c>
      <c r="N12" s="383">
        <v>34357.04605615414</v>
      </c>
    </row>
    <row r="13" spans="1:17" ht="13.8">
      <c r="B13" s="785"/>
      <c r="C13" s="406" t="s">
        <v>504</v>
      </c>
      <c r="D13" s="431" t="s">
        <v>505</v>
      </c>
      <c r="E13" s="353">
        <v>42725</v>
      </c>
      <c r="F13" s="353">
        <v>48959</v>
      </c>
      <c r="G13" s="354">
        <v>17.079452054794519</v>
      </c>
      <c r="H13" s="575" t="s">
        <v>506</v>
      </c>
      <c r="I13" s="403"/>
      <c r="J13" s="667">
        <v>7.3999999999999996E-2</v>
      </c>
      <c r="K13" s="60"/>
      <c r="L13" s="383">
        <v>560961563</v>
      </c>
      <c r="M13" s="383">
        <v>195303.42413296396</v>
      </c>
      <c r="N13" s="383">
        <v>46597.56068145387</v>
      </c>
    </row>
    <row r="14" spans="1:17" ht="13.8">
      <c r="B14" s="780"/>
      <c r="C14" s="406" t="s">
        <v>507</v>
      </c>
      <c r="D14" s="431" t="s">
        <v>499</v>
      </c>
      <c r="E14" s="353">
        <v>43286</v>
      </c>
      <c r="F14" s="353">
        <v>49498</v>
      </c>
      <c r="G14" s="354">
        <v>17.019178082191782</v>
      </c>
      <c r="H14" s="575" t="s">
        <v>508</v>
      </c>
      <c r="I14" s="403" t="s">
        <v>526</v>
      </c>
      <c r="J14" s="667">
        <v>8.2000000000000003E-2</v>
      </c>
      <c r="K14" s="60"/>
      <c r="L14" s="383">
        <v>3594704980</v>
      </c>
      <c r="M14" s="383">
        <v>3594.7049798811181</v>
      </c>
      <c r="N14" s="383">
        <v>857.66280942364108</v>
      </c>
    </row>
    <row r="15" spans="1:17" ht="14.4">
      <c r="B15"/>
      <c r="C15"/>
      <c r="D15"/>
      <c r="E15"/>
      <c r="F15"/>
      <c r="G15"/>
      <c r="H15" s="404"/>
      <c r="I15" s="48"/>
      <c r="J15" s="668"/>
      <c r="K15" s="60"/>
      <c r="L15" s="405"/>
      <c r="M15" s="362">
        <f>SUM(M10:M14)</f>
        <v>675898.12909206992</v>
      </c>
      <c r="N15" s="363">
        <f>SUM(N10:N14)</f>
        <v>161262.93855148548</v>
      </c>
    </row>
    <row r="16" spans="1:17" ht="14.4">
      <c r="B16"/>
      <c r="C16"/>
      <c r="D16"/>
      <c r="E16"/>
      <c r="F16"/>
      <c r="G16"/>
      <c r="H16" s="404"/>
      <c r="I16" s="48"/>
      <c r="J16" s="668"/>
      <c r="K16" s="60"/>
      <c r="L16" s="405"/>
      <c r="M16" s="349"/>
      <c r="N16" s="349"/>
    </row>
    <row r="17" spans="2:14" ht="13.8">
      <c r="B17" s="775" t="s">
        <v>509</v>
      </c>
      <c r="C17" s="530" t="s">
        <v>510</v>
      </c>
      <c r="D17" s="351" t="s">
        <v>499</v>
      </c>
      <c r="E17" s="353">
        <v>44496</v>
      </c>
      <c r="F17" s="353">
        <v>48148</v>
      </c>
      <c r="G17" s="354">
        <v>10.005479452054795</v>
      </c>
      <c r="H17" s="657" t="s">
        <v>500</v>
      </c>
      <c r="I17" s="403" t="s">
        <v>526</v>
      </c>
      <c r="J17" s="669">
        <v>3.0499999999999999E-2</v>
      </c>
      <c r="K17" s="60"/>
      <c r="L17" s="383">
        <v>158049999998</v>
      </c>
      <c r="M17" s="393">
        <v>158049.99999800001</v>
      </c>
      <c r="N17" s="357">
        <v>37709.24395363708</v>
      </c>
    </row>
    <row r="18" spans="2:14" ht="13.8">
      <c r="B18" s="776"/>
      <c r="C18" s="530" t="s">
        <v>510</v>
      </c>
      <c r="D18" s="351" t="s">
        <v>499</v>
      </c>
      <c r="E18" s="353">
        <v>44476</v>
      </c>
      <c r="F18" s="353">
        <v>47033</v>
      </c>
      <c r="G18" s="354">
        <v>7.0054794520547947</v>
      </c>
      <c r="H18" s="657" t="s">
        <v>500</v>
      </c>
      <c r="I18" s="403" t="s">
        <v>526</v>
      </c>
      <c r="J18" s="669">
        <v>2.5000000000000001E-2</v>
      </c>
      <c r="K18" s="60"/>
      <c r="L18" s="383">
        <v>70500000000</v>
      </c>
      <c r="M18" s="393">
        <v>70500</v>
      </c>
      <c r="N18" s="357">
        <v>16820.637132331889</v>
      </c>
    </row>
    <row r="19" spans="2:14" ht="13.8">
      <c r="B19" s="777"/>
      <c r="C19" s="530" t="s">
        <v>510</v>
      </c>
      <c r="D19" s="351" t="s">
        <v>499</v>
      </c>
      <c r="E19" s="353">
        <v>44769</v>
      </c>
      <c r="F19" s="353">
        <v>46595</v>
      </c>
      <c r="G19" s="354">
        <v>5.0027397260273974</v>
      </c>
      <c r="H19" s="657" t="s">
        <v>500</v>
      </c>
      <c r="I19" s="403" t="s">
        <v>526</v>
      </c>
      <c r="J19" s="669">
        <v>3.6400000000000002E-2</v>
      </c>
      <c r="K19" s="55"/>
      <c r="L19" s="383">
        <v>194000000000</v>
      </c>
      <c r="M19" s="393">
        <v>194000</v>
      </c>
      <c r="N19" s="357">
        <v>46286.575938615417</v>
      </c>
    </row>
    <row r="20" spans="2:14" ht="14.4">
      <c r="B20"/>
      <c r="C20" s="366"/>
      <c r="D20" s="408"/>
      <c r="E20" s="368"/>
      <c r="F20" s="368"/>
      <c r="G20" s="409"/>
      <c r="H20" s="410"/>
      <c r="I20" s="411"/>
      <c r="J20" s="670"/>
      <c r="K20" s="60"/>
      <c r="L20" s="407"/>
      <c r="M20" s="362">
        <f>SUM(M17:M19)</f>
        <v>422549.99999799998</v>
      </c>
      <c r="N20" s="363">
        <f>SUM(N17:N19)</f>
        <v>100816.45702458438</v>
      </c>
    </row>
    <row r="21" spans="2:14" ht="14.4">
      <c r="B21"/>
      <c r="C21" s="366"/>
      <c r="D21" s="408"/>
      <c r="E21" s="368"/>
      <c r="F21" s="368"/>
      <c r="G21" s="409"/>
      <c r="H21" s="410"/>
      <c r="I21" s="411"/>
      <c r="J21" s="670"/>
      <c r="K21" s="60"/>
      <c r="L21" s="407"/>
      <c r="M21" s="349"/>
      <c r="N21" s="349"/>
    </row>
    <row r="22" spans="2:14" ht="13.8">
      <c r="B22" s="793" t="s">
        <v>511</v>
      </c>
      <c r="C22" s="351" t="s">
        <v>498</v>
      </c>
      <c r="D22" s="351" t="s">
        <v>499</v>
      </c>
      <c r="E22" s="353">
        <v>43231</v>
      </c>
      <c r="F22" s="353">
        <v>47068</v>
      </c>
      <c r="G22" s="412">
        <v>10.512328767123288</v>
      </c>
      <c r="H22" s="355" t="s">
        <v>513</v>
      </c>
      <c r="I22" s="403" t="s">
        <v>501</v>
      </c>
      <c r="J22" s="669">
        <v>2.1999999999999999E-2</v>
      </c>
      <c r="K22" s="60"/>
      <c r="L22" s="383">
        <v>46723809523.858574</v>
      </c>
      <c r="M22" s="393">
        <v>46723.809523390344</v>
      </c>
      <c r="N22" s="357">
        <v>11147.861637349532</v>
      </c>
    </row>
    <row r="23" spans="2:14" ht="13.8">
      <c r="B23" s="794"/>
      <c r="C23" s="351" t="s">
        <v>498</v>
      </c>
      <c r="D23" s="351" t="s">
        <v>499</v>
      </c>
      <c r="E23" s="353">
        <v>43406</v>
      </c>
      <c r="F23" s="353">
        <v>47059</v>
      </c>
      <c r="G23" s="412">
        <v>10.008219178082191</v>
      </c>
      <c r="H23" s="355" t="s">
        <v>513</v>
      </c>
      <c r="I23" s="403" t="s">
        <v>501</v>
      </c>
      <c r="J23" s="669">
        <v>2.1999999999999999E-2</v>
      </c>
      <c r="K23" s="55"/>
      <c r="L23" s="383">
        <v>18071428572.282856</v>
      </c>
      <c r="M23" s="393">
        <v>18071.428572101759</v>
      </c>
      <c r="N23" s="357">
        <v>4311.6729428961462</v>
      </c>
    </row>
    <row r="24" spans="2:14" ht="13.8">
      <c r="B24" s="794"/>
      <c r="C24" s="351" t="s">
        <v>498</v>
      </c>
      <c r="D24" s="351" t="s">
        <v>499</v>
      </c>
      <c r="E24" s="353">
        <v>43515</v>
      </c>
      <c r="F24" s="353">
        <v>47168</v>
      </c>
      <c r="G24" s="412">
        <v>10.008219178082191</v>
      </c>
      <c r="H24" s="355" t="s">
        <v>513</v>
      </c>
      <c r="I24" s="403" t="s">
        <v>501</v>
      </c>
      <c r="J24" s="669">
        <v>2.1999999999999999E-2</v>
      </c>
      <c r="K24" s="60"/>
      <c r="L24" s="383">
        <v>4729066114</v>
      </c>
      <c r="M24" s="393">
        <v>4729.0661139526092</v>
      </c>
      <c r="N24" s="357">
        <v>1128.3107103206203</v>
      </c>
    </row>
    <row r="25" spans="2:14" ht="13.8">
      <c r="B25" s="794"/>
      <c r="C25" s="351" t="s">
        <v>514</v>
      </c>
      <c r="D25" s="351" t="s">
        <v>499</v>
      </c>
      <c r="E25" s="353">
        <v>43608</v>
      </c>
      <c r="F25" s="353">
        <v>47261</v>
      </c>
      <c r="G25" s="412">
        <v>10.008219178082191</v>
      </c>
      <c r="H25" s="355" t="s">
        <v>513</v>
      </c>
      <c r="I25" s="403" t="s">
        <v>501</v>
      </c>
      <c r="J25" s="669">
        <v>3.3000000000000002E-2</v>
      </c>
      <c r="K25" s="60"/>
      <c r="L25" s="383">
        <v>7714285714.2114286</v>
      </c>
      <c r="M25" s="393">
        <v>7714.2857141341219</v>
      </c>
      <c r="N25" s="357">
        <v>1840.5560387600262</v>
      </c>
    </row>
    <row r="26" spans="2:14" ht="13.8">
      <c r="B26" s="794"/>
      <c r="C26" s="351" t="s">
        <v>514</v>
      </c>
      <c r="D26" s="351" t="s">
        <v>499</v>
      </c>
      <c r="E26" s="353">
        <v>43608</v>
      </c>
      <c r="F26" s="353">
        <v>47261</v>
      </c>
      <c r="G26" s="412">
        <v>10.008219178082191</v>
      </c>
      <c r="H26" s="355" t="s">
        <v>513</v>
      </c>
      <c r="I26" s="403" t="s">
        <v>501</v>
      </c>
      <c r="J26" s="669">
        <v>3.3000000000000002E-2</v>
      </c>
      <c r="K26" s="55"/>
      <c r="L26" s="383">
        <v>7714285714.2114286</v>
      </c>
      <c r="M26" s="393">
        <v>7714.2857141341219</v>
      </c>
      <c r="N26" s="357">
        <v>1840.5560387600262</v>
      </c>
    </row>
    <row r="27" spans="2:14" ht="13.8">
      <c r="B27" s="794"/>
      <c r="C27" s="351" t="s">
        <v>514</v>
      </c>
      <c r="D27" s="351" t="s">
        <v>499</v>
      </c>
      <c r="E27" s="353">
        <v>43936</v>
      </c>
      <c r="F27" s="353">
        <v>47588</v>
      </c>
      <c r="G27" s="412">
        <v>10.005479452054795</v>
      </c>
      <c r="H27" s="355" t="s">
        <v>508</v>
      </c>
      <c r="I27" s="403" t="s">
        <v>501</v>
      </c>
      <c r="J27" s="669">
        <v>3.1899999999999998E-2</v>
      </c>
      <c r="K27" s="60"/>
      <c r="L27" s="383">
        <v>10000000000</v>
      </c>
      <c r="M27" s="393">
        <v>9999.9999998997864</v>
      </c>
      <c r="N27" s="357">
        <v>2385.905976193379</v>
      </c>
    </row>
    <row r="28" spans="2:14" ht="13.8">
      <c r="B28" s="794"/>
      <c r="C28" s="351" t="s">
        <v>515</v>
      </c>
      <c r="D28" s="351" t="s">
        <v>499</v>
      </c>
      <c r="E28" s="353">
        <v>44088</v>
      </c>
      <c r="F28" s="353">
        <v>47740</v>
      </c>
      <c r="G28" s="412">
        <v>10.005479452054795</v>
      </c>
      <c r="H28" s="355" t="s">
        <v>508</v>
      </c>
      <c r="I28" s="403" t="s">
        <v>501</v>
      </c>
      <c r="J28" s="669">
        <v>3.4500000000000003E-2</v>
      </c>
      <c r="K28" s="55"/>
      <c r="L28" s="383">
        <v>3800000000</v>
      </c>
      <c r="M28" s="393">
        <v>3799.999999961919</v>
      </c>
      <c r="N28" s="357">
        <v>906.64427095348424</v>
      </c>
    </row>
    <row r="29" spans="2:14" ht="13.8">
      <c r="B29" s="794"/>
      <c r="C29" s="351" t="s">
        <v>515</v>
      </c>
      <c r="D29" s="351" t="s">
        <v>499</v>
      </c>
      <c r="E29" s="353">
        <v>44160</v>
      </c>
      <c r="F29" s="353">
        <v>47740</v>
      </c>
      <c r="G29" s="412">
        <v>9.8082191780821919</v>
      </c>
      <c r="H29" s="355" t="s">
        <v>508</v>
      </c>
      <c r="I29" s="403" t="s">
        <v>501</v>
      </c>
      <c r="J29" s="669">
        <v>3.4500000000000003E-2</v>
      </c>
      <c r="K29" s="60"/>
      <c r="L29" s="383">
        <v>8000000000</v>
      </c>
      <c r="M29" s="393">
        <v>7999.9999999198299</v>
      </c>
      <c r="N29" s="357">
        <v>1908.7247809547036</v>
      </c>
    </row>
    <row r="30" spans="2:14" ht="14.4">
      <c r="B30" s="794"/>
      <c r="C30" s="351" t="s">
        <v>515</v>
      </c>
      <c r="D30" s="351" t="s">
        <v>499</v>
      </c>
      <c r="E30" s="353">
        <v>44183</v>
      </c>
      <c r="F30" s="353">
        <v>47740</v>
      </c>
      <c r="G30" s="412">
        <v>9.7452054794520553</v>
      </c>
      <c r="H30" s="355" t="s">
        <v>508</v>
      </c>
      <c r="I30" s="403" t="s">
        <v>501</v>
      </c>
      <c r="J30" s="669">
        <v>3.4500000000000003E-2</v>
      </c>
      <c r="K30"/>
      <c r="L30" s="383">
        <v>8200000000</v>
      </c>
      <c r="M30" s="393">
        <v>8199.9999999178253</v>
      </c>
      <c r="N30" s="357">
        <v>1956.4429004785713</v>
      </c>
    </row>
    <row r="31" spans="2:14" ht="14.4">
      <c r="B31" s="794"/>
      <c r="C31" s="351" t="s">
        <v>515</v>
      </c>
      <c r="D31" s="351" t="s">
        <v>499</v>
      </c>
      <c r="E31" s="353">
        <v>44363</v>
      </c>
      <c r="F31" s="353">
        <v>47923</v>
      </c>
      <c r="G31" s="412">
        <v>9.7534246575342465</v>
      </c>
      <c r="H31" s="355" t="s">
        <v>508</v>
      </c>
      <c r="I31" s="403" t="s">
        <v>501</v>
      </c>
      <c r="J31" s="669">
        <v>3.9899999999999998E-2</v>
      </c>
      <c r="K31"/>
      <c r="L31" s="383">
        <v>7000000000</v>
      </c>
      <c r="M31" s="393">
        <v>6999.9999999298507</v>
      </c>
      <c r="N31" s="357">
        <v>1670.1341833353656</v>
      </c>
    </row>
    <row r="32" spans="2:14" ht="14.4">
      <c r="B32" s="794"/>
      <c r="C32" s="351" t="s">
        <v>515</v>
      </c>
      <c r="D32" s="351" t="s">
        <v>499</v>
      </c>
      <c r="E32" s="353">
        <v>44476</v>
      </c>
      <c r="F32" s="353">
        <v>48015</v>
      </c>
      <c r="G32" s="412">
        <v>9.6958904109589046</v>
      </c>
      <c r="H32" s="355" t="s">
        <v>508</v>
      </c>
      <c r="I32" s="403" t="s">
        <v>501</v>
      </c>
      <c r="J32" s="669">
        <v>3.9899999999999998E-2</v>
      </c>
      <c r="K32"/>
      <c r="L32" s="383">
        <v>7000000000</v>
      </c>
      <c r="M32" s="393">
        <v>6999.9999999298507</v>
      </c>
      <c r="N32" s="357">
        <v>1670.1341833353656</v>
      </c>
    </row>
    <row r="33" spans="2:14" ht="14.4">
      <c r="B33" s="794"/>
      <c r="C33" s="351" t="s">
        <v>515</v>
      </c>
      <c r="D33" s="351" t="s">
        <v>499</v>
      </c>
      <c r="E33" s="353">
        <v>44511</v>
      </c>
      <c r="F33" s="353">
        <v>48015</v>
      </c>
      <c r="G33" s="412">
        <v>9.6</v>
      </c>
      <c r="H33" s="355" t="s">
        <v>508</v>
      </c>
      <c r="I33" s="403" t="s">
        <v>501</v>
      </c>
      <c r="J33" s="669">
        <v>3.9899999999999998E-2</v>
      </c>
      <c r="K33"/>
      <c r="L33" s="383">
        <v>16000000000</v>
      </c>
      <c r="M33" s="393">
        <v>15999.99999983966</v>
      </c>
      <c r="N33" s="357">
        <v>3817.4495619094073</v>
      </c>
    </row>
    <row r="34" spans="2:14" ht="14.4">
      <c r="B34" s="794"/>
      <c r="C34" s="351" t="s">
        <v>515</v>
      </c>
      <c r="D34" s="351" t="s">
        <v>499</v>
      </c>
      <c r="E34" s="353">
        <v>44529</v>
      </c>
      <c r="F34" s="353">
        <v>48015</v>
      </c>
      <c r="G34" s="412">
        <v>9.5506849315068489</v>
      </c>
      <c r="H34" s="355" t="s">
        <v>508</v>
      </c>
      <c r="I34" s="403" t="s">
        <v>501</v>
      </c>
      <c r="J34" s="669">
        <v>3.9899999999999998E-2</v>
      </c>
      <c r="K34"/>
      <c r="L34" s="383">
        <v>20000000000</v>
      </c>
      <c r="M34" s="393">
        <v>19999.999999799573</v>
      </c>
      <c r="N34" s="357">
        <v>4771.8119523867581</v>
      </c>
    </row>
    <row r="35" spans="2:14" ht="14.4">
      <c r="B35" s="794"/>
      <c r="C35" s="351" t="s">
        <v>512</v>
      </c>
      <c r="D35" s="351" t="s">
        <v>499</v>
      </c>
      <c r="E35" s="353">
        <v>44722</v>
      </c>
      <c r="F35" s="353">
        <v>46548</v>
      </c>
      <c r="G35" s="412">
        <v>5.0027397260273974</v>
      </c>
      <c r="H35" s="355" t="s">
        <v>508</v>
      </c>
      <c r="I35" s="403" t="s">
        <v>501</v>
      </c>
      <c r="J35" s="669">
        <v>2.6499999999999999E-2</v>
      </c>
      <c r="K35"/>
      <c r="L35" s="383">
        <v>12900000000</v>
      </c>
      <c r="M35" s="393">
        <v>12899.999999870726</v>
      </c>
      <c r="N35" s="357">
        <v>3077.8187092894595</v>
      </c>
    </row>
    <row r="36" spans="2:14" ht="14.4">
      <c r="B36" s="795"/>
      <c r="C36" s="351" t="s">
        <v>512</v>
      </c>
      <c r="D36" s="351" t="s">
        <v>499</v>
      </c>
      <c r="E36" s="353">
        <v>44781</v>
      </c>
      <c r="F36" s="353">
        <v>46607</v>
      </c>
      <c r="G36" s="412">
        <v>5.0027397260273974</v>
      </c>
      <c r="H36" s="355" t="s">
        <v>513</v>
      </c>
      <c r="I36" s="403" t="s">
        <v>501</v>
      </c>
      <c r="J36" s="669">
        <v>2.1999999999999999E-2</v>
      </c>
      <c r="K36"/>
      <c r="L36" s="383">
        <v>51085358449</v>
      </c>
      <c r="M36" s="393">
        <v>51085.358448488056</v>
      </c>
      <c r="N36" s="357">
        <v>12188.486201945005</v>
      </c>
    </row>
    <row r="37" spans="2:14" ht="14.4">
      <c r="B37"/>
      <c r="C37" s="366"/>
      <c r="D37" s="366"/>
      <c r="E37" s="368"/>
      <c r="F37" s="368"/>
      <c r="G37" s="370"/>
      <c r="H37" s="385"/>
      <c r="I37" s="385"/>
      <c r="J37" s="670"/>
      <c r="K37" s="60"/>
      <c r="L37" s="385"/>
      <c r="M37" s="362">
        <f>SUM(M22:M36)</f>
        <v>228938.23408527</v>
      </c>
      <c r="N37" s="363">
        <f>SUM(N22:N36)</f>
        <v>54622.510088867857</v>
      </c>
    </row>
    <row r="38" spans="2:14" ht="14.4">
      <c r="B38"/>
      <c r="C38" s="366"/>
      <c r="D38" s="366"/>
      <c r="E38" s="368"/>
      <c r="F38" s="368"/>
      <c r="G38" s="370"/>
      <c r="H38" s="385"/>
      <c r="I38" s="385"/>
      <c r="J38" s="670"/>
      <c r="K38" s="60"/>
      <c r="L38" s="385"/>
      <c r="M38" s="349"/>
      <c r="N38" s="349"/>
    </row>
    <row r="39" spans="2:14" ht="14.4" thickBot="1">
      <c r="B39" s="345" t="s">
        <v>516</v>
      </c>
      <c r="C39" s="345"/>
      <c r="D39" s="345"/>
      <c r="E39" s="345"/>
      <c r="F39" s="345"/>
      <c r="G39" s="345"/>
      <c r="H39" s="345"/>
      <c r="I39" s="574"/>
      <c r="J39" s="666"/>
      <c r="K39" s="55"/>
      <c r="L39" s="346"/>
      <c r="M39" s="347">
        <f>+M45+M49+M54+M59</f>
        <v>1625291.7777371968</v>
      </c>
      <c r="N39" s="347">
        <f>+N45+N49+N54+N59</f>
        <v>387779.33656000003</v>
      </c>
    </row>
    <row r="40" spans="2:14" ht="14.4" thickTop="1">
      <c r="B40" s="376"/>
      <c r="C40" s="344"/>
      <c r="D40" s="413"/>
      <c r="E40" s="344"/>
      <c r="F40" s="344"/>
      <c r="G40" s="344"/>
      <c r="H40" s="344"/>
      <c r="I40" s="344"/>
      <c r="J40" s="665"/>
      <c r="K40" s="60"/>
      <c r="L40" s="344"/>
      <c r="M40" s="349"/>
      <c r="N40" s="349"/>
    </row>
    <row r="41" spans="2:14" ht="13.8">
      <c r="B41" s="786" t="s">
        <v>21</v>
      </c>
      <c r="C41" s="530" t="s">
        <v>517</v>
      </c>
      <c r="D41" s="351" t="s">
        <v>518</v>
      </c>
      <c r="E41" s="379">
        <v>43728</v>
      </c>
      <c r="F41" s="379">
        <v>45913</v>
      </c>
      <c r="G41" s="576">
        <v>5.9863013698630141</v>
      </c>
      <c r="H41" s="381" t="s">
        <v>506</v>
      </c>
      <c r="I41" s="414"/>
      <c r="J41" s="671">
        <v>3.1E-2</v>
      </c>
      <c r="K41" s="55"/>
      <c r="L41" s="383">
        <v>70000000</v>
      </c>
      <c r="M41" s="393">
        <v>293389.59999999998</v>
      </c>
      <c r="N41" s="357">
        <v>70000</v>
      </c>
    </row>
    <row r="42" spans="2:14" ht="13.8">
      <c r="B42" s="787"/>
      <c r="C42" s="530" t="s">
        <v>1190</v>
      </c>
      <c r="D42" s="351" t="s">
        <v>518</v>
      </c>
      <c r="E42" s="379">
        <v>44901</v>
      </c>
      <c r="F42" s="379">
        <v>47816</v>
      </c>
      <c r="G42" s="576">
        <v>7.9863013698630141</v>
      </c>
      <c r="H42" s="381" t="s">
        <v>1157</v>
      </c>
      <c r="I42" s="414"/>
      <c r="J42" s="671">
        <v>0.02</v>
      </c>
      <c r="K42" s="55"/>
      <c r="L42" s="383">
        <v>39998463.670000002</v>
      </c>
      <c r="M42" s="393">
        <v>167644.7608107976</v>
      </c>
      <c r="N42" s="357">
        <v>39998.463669999997</v>
      </c>
    </row>
    <row r="43" spans="2:14" ht="13.8">
      <c r="B43" s="787"/>
      <c r="C43" s="530" t="s">
        <v>1190</v>
      </c>
      <c r="D43" s="351" t="s">
        <v>518</v>
      </c>
      <c r="E43" s="379">
        <v>44963</v>
      </c>
      <c r="F43" s="379">
        <v>47816</v>
      </c>
      <c r="G43" s="576">
        <v>7.816438356164384</v>
      </c>
      <c r="H43" s="381" t="s">
        <v>1157</v>
      </c>
      <c r="I43" s="414"/>
      <c r="J43" s="671">
        <v>0.02</v>
      </c>
      <c r="K43" s="60"/>
      <c r="L43" s="383">
        <v>29999223.870000001</v>
      </c>
      <c r="M43" s="393">
        <v>125735.1470218536</v>
      </c>
      <c r="N43" s="357">
        <v>29999.223870000002</v>
      </c>
    </row>
    <row r="44" spans="2:14" ht="13.8">
      <c r="B44" s="788"/>
      <c r="C44" s="530" t="s">
        <v>1190</v>
      </c>
      <c r="D44" s="351" t="s">
        <v>518</v>
      </c>
      <c r="E44" s="379">
        <v>45000</v>
      </c>
      <c r="F44" s="379">
        <v>47816</v>
      </c>
      <c r="G44" s="576">
        <v>7.7150684931506852</v>
      </c>
      <c r="H44" s="381" t="s">
        <v>1157</v>
      </c>
      <c r="I44" s="414"/>
      <c r="J44" s="671">
        <v>0.02</v>
      </c>
      <c r="K44" s="60"/>
      <c r="L44" s="383">
        <v>36000000</v>
      </c>
      <c r="M44" s="393">
        <v>150886.07999999999</v>
      </c>
      <c r="N44" s="357">
        <v>36000</v>
      </c>
    </row>
    <row r="45" spans="2:14" ht="13.8">
      <c r="B45" s="365"/>
      <c r="C45" s="366"/>
      <c r="D45" s="408"/>
      <c r="E45" s="368"/>
      <c r="F45" s="368"/>
      <c r="G45" s="367"/>
      <c r="H45" s="385"/>
      <c r="I45" s="385"/>
      <c r="J45" s="670"/>
      <c r="K45" s="55"/>
      <c r="L45" s="416"/>
      <c r="M45" s="362">
        <f>SUM(M41:M44)</f>
        <v>737655.5878326511</v>
      </c>
      <c r="N45" s="362">
        <f>SUM(N41:N44)</f>
        <v>175997.68754000001</v>
      </c>
    </row>
    <row r="46" spans="2:14" ht="13.8">
      <c r="B46" s="376"/>
      <c r="C46" s="344"/>
      <c r="D46" s="413"/>
      <c r="E46" s="344"/>
      <c r="F46" s="344"/>
      <c r="G46" s="344"/>
      <c r="H46" s="344"/>
      <c r="I46" s="344"/>
      <c r="J46" s="665"/>
      <c r="K46" s="60"/>
      <c r="L46" s="417"/>
      <c r="M46" s="349"/>
      <c r="N46" s="349"/>
    </row>
    <row r="47" spans="2:14" ht="13.8">
      <c r="B47" s="793" t="s">
        <v>519</v>
      </c>
      <c r="C47" s="351" t="s">
        <v>517</v>
      </c>
      <c r="D47" s="351" t="s">
        <v>520</v>
      </c>
      <c r="E47" s="353">
        <v>44673</v>
      </c>
      <c r="F47" s="353">
        <v>46350</v>
      </c>
      <c r="G47" s="354">
        <v>4.5945205479452058</v>
      </c>
      <c r="H47" s="355" t="s">
        <v>506</v>
      </c>
      <c r="I47" s="403"/>
      <c r="J47" s="671">
        <v>7.1499999999999994E-2</v>
      </c>
      <c r="K47" s="60"/>
      <c r="L47" s="383">
        <v>249258000</v>
      </c>
      <c r="M47" s="393">
        <v>287324.00157598482</v>
      </c>
      <c r="N47" s="357">
        <v>68552.805247080803</v>
      </c>
    </row>
    <row r="48" spans="2:14" ht="13.8">
      <c r="B48" s="795"/>
      <c r="C48" s="351" t="s">
        <v>521</v>
      </c>
      <c r="D48" s="351" t="s">
        <v>518</v>
      </c>
      <c r="E48" s="353">
        <v>44817</v>
      </c>
      <c r="F48" s="353">
        <v>48470</v>
      </c>
      <c r="G48" s="354">
        <v>10.008219178082191</v>
      </c>
      <c r="H48" s="355" t="s">
        <v>506</v>
      </c>
      <c r="I48" s="403"/>
      <c r="J48" s="671">
        <v>6.3600000000000004E-2</v>
      </c>
      <c r="K48" s="60"/>
      <c r="L48" s="383">
        <v>76000000</v>
      </c>
      <c r="M48" s="393">
        <v>318537.27984458412</v>
      </c>
      <c r="N48" s="357">
        <v>75999.999962919232</v>
      </c>
    </row>
    <row r="49" spans="2:14" ht="13.8">
      <c r="B49" s="360"/>
      <c r="C49" s="418"/>
      <c r="D49" s="419"/>
      <c r="E49" s="420"/>
      <c r="F49" s="420"/>
      <c r="G49" s="421"/>
      <c r="H49" s="422"/>
      <c r="I49" s="423"/>
      <c r="J49" s="672"/>
      <c r="K49" s="55"/>
      <c r="L49" s="424"/>
      <c r="M49" s="362">
        <f>SUM(M47:M48)</f>
        <v>605861.28142056894</v>
      </c>
      <c r="N49" s="363">
        <f>SUM(N47:N48)</f>
        <v>144552.80521000002</v>
      </c>
    </row>
    <row r="50" spans="2:14" ht="14.4">
      <c r="B50"/>
      <c r="C50" s="418"/>
      <c r="D50" s="419"/>
      <c r="E50" s="420"/>
      <c r="F50" s="420"/>
      <c r="G50" s="421"/>
      <c r="H50" s="422"/>
      <c r="I50" s="423"/>
      <c r="J50" s="672"/>
      <c r="K50" s="60"/>
      <c r="L50" s="424"/>
      <c r="M50" s="349"/>
      <c r="N50" s="349"/>
    </row>
    <row r="51" spans="2:14" ht="13.8">
      <c r="B51" s="793" t="s">
        <v>601</v>
      </c>
      <c r="C51" s="351" t="s">
        <v>517</v>
      </c>
      <c r="D51" s="351" t="s">
        <v>518</v>
      </c>
      <c r="E51" s="353">
        <v>44874</v>
      </c>
      <c r="F51" s="353">
        <v>45234</v>
      </c>
      <c r="G51" s="354">
        <v>0.98630136986301364</v>
      </c>
      <c r="H51" s="355" t="s">
        <v>506</v>
      </c>
      <c r="I51" s="403"/>
      <c r="J51" s="671">
        <v>6.1499999999999999E-2</v>
      </c>
      <c r="K51" s="60"/>
      <c r="L51" s="383">
        <v>7000000</v>
      </c>
      <c r="M51" s="393">
        <v>29338.959999999999</v>
      </c>
      <c r="N51" s="357">
        <v>7000</v>
      </c>
    </row>
    <row r="52" spans="2:14" ht="13.8">
      <c r="B52" s="794"/>
      <c r="C52" s="351" t="s">
        <v>521</v>
      </c>
      <c r="D52" s="351" t="s">
        <v>518</v>
      </c>
      <c r="E52" s="353">
        <v>44937</v>
      </c>
      <c r="F52" s="353">
        <v>45271</v>
      </c>
      <c r="G52" s="354">
        <v>0.91506849315068495</v>
      </c>
      <c r="H52" s="355" t="s">
        <v>506</v>
      </c>
      <c r="I52" s="403"/>
      <c r="J52" s="671">
        <v>5.9299999999999999E-2</v>
      </c>
      <c r="K52" s="60"/>
      <c r="L52" s="383">
        <v>17000000</v>
      </c>
      <c r="M52" s="393">
        <v>71251.759999999995</v>
      </c>
      <c r="N52" s="357">
        <v>17000</v>
      </c>
    </row>
    <row r="53" spans="2:14" ht="13.8">
      <c r="B53" s="795"/>
      <c r="C53" s="351" t="s">
        <v>521</v>
      </c>
      <c r="D53" s="351" t="s">
        <v>518</v>
      </c>
      <c r="E53" s="353">
        <v>45028</v>
      </c>
      <c r="F53" s="353">
        <v>45272</v>
      </c>
      <c r="G53" s="354">
        <v>0.66849315068493154</v>
      </c>
      <c r="H53" s="355" t="s">
        <v>506</v>
      </c>
      <c r="I53" s="403"/>
      <c r="J53" s="671">
        <v>6.0499999999999998E-2</v>
      </c>
      <c r="K53" s="60"/>
      <c r="L53" s="383">
        <v>33000000</v>
      </c>
      <c r="M53" s="393">
        <v>138312.24</v>
      </c>
      <c r="N53" s="357">
        <v>33000</v>
      </c>
    </row>
    <row r="54" spans="2:14" ht="13.8">
      <c r="B54" s="360"/>
      <c r="C54" s="418"/>
      <c r="D54" s="419"/>
      <c r="E54" s="420"/>
      <c r="F54" s="420"/>
      <c r="G54" s="421"/>
      <c r="H54" s="422"/>
      <c r="I54" s="423"/>
      <c r="J54" s="672"/>
      <c r="K54" s="55"/>
      <c r="L54" s="424"/>
      <c r="M54" s="362">
        <f>SUM(M51:M53)</f>
        <v>238902.96</v>
      </c>
      <c r="N54" s="363">
        <f>SUM(N51:N53)</f>
        <v>57000</v>
      </c>
    </row>
    <row r="55" spans="2:14" ht="14.4">
      <c r="B55"/>
      <c r="C55"/>
      <c r="D55"/>
      <c r="E55"/>
      <c r="F55"/>
      <c r="G55"/>
      <c r="H55"/>
      <c r="I55" s="48"/>
      <c r="J55" s="673"/>
      <c r="K55"/>
      <c r="L55"/>
      <c r="M55"/>
      <c r="N55"/>
    </row>
    <row r="56" spans="2:14" ht="13.8">
      <c r="B56" s="793" t="s">
        <v>523</v>
      </c>
      <c r="C56" s="351" t="s">
        <v>527</v>
      </c>
      <c r="D56" s="351" t="s">
        <v>518</v>
      </c>
      <c r="E56" s="353">
        <v>42405</v>
      </c>
      <c r="F56" s="353">
        <v>45501</v>
      </c>
      <c r="G56" s="354">
        <v>8.4821917808219176</v>
      </c>
      <c r="H56" s="355" t="s">
        <v>525</v>
      </c>
      <c r="I56" s="403" t="s">
        <v>526</v>
      </c>
      <c r="J56" s="669">
        <v>2.52E-2</v>
      </c>
      <c r="K56" s="55"/>
      <c r="L56" s="383">
        <v>1866666.3466666671</v>
      </c>
      <c r="M56" s="393">
        <v>7823.7209914644645</v>
      </c>
      <c r="N56" s="357">
        <v>1866.6662669791722</v>
      </c>
    </row>
    <row r="57" spans="2:14" ht="13.8">
      <c r="B57" s="794"/>
      <c r="C57" s="351" t="s">
        <v>524</v>
      </c>
      <c r="D57" s="351" t="s">
        <v>518</v>
      </c>
      <c r="E57" s="353">
        <v>44708</v>
      </c>
      <c r="F57" s="353">
        <v>46534</v>
      </c>
      <c r="G57" s="354">
        <v>5.0027397260273974</v>
      </c>
      <c r="H57" s="355" t="s">
        <v>525</v>
      </c>
      <c r="I57" s="403"/>
      <c r="J57" s="669">
        <v>3.8199999999999998E-2</v>
      </c>
      <c r="K57" s="55"/>
      <c r="L57" s="383">
        <v>4112177.9000000004</v>
      </c>
      <c r="M57" s="393">
        <v>17235.288252942053</v>
      </c>
      <c r="N57" s="357">
        <v>4112.1777244522091</v>
      </c>
    </row>
    <row r="58" spans="2:14" ht="13.8">
      <c r="B58" s="795"/>
      <c r="C58" s="351" t="s">
        <v>527</v>
      </c>
      <c r="D58" s="351" t="s">
        <v>518</v>
      </c>
      <c r="E58" s="353">
        <v>44844</v>
      </c>
      <c r="F58" s="353">
        <v>46554</v>
      </c>
      <c r="G58" s="354">
        <v>4.6849315068493151</v>
      </c>
      <c r="H58" s="355" t="s">
        <v>525</v>
      </c>
      <c r="I58" s="403"/>
      <c r="J58" s="669">
        <v>3.3000000000000002E-2</v>
      </c>
      <c r="K58" s="55"/>
      <c r="L58" s="383">
        <v>4250000</v>
      </c>
      <c r="M58" s="393">
        <v>17812.939239570282</v>
      </c>
      <c r="N58" s="357">
        <v>4249.999818568619</v>
      </c>
    </row>
    <row r="59" spans="2:14" ht="13.8">
      <c r="B59" s="415"/>
      <c r="C59" s="366"/>
      <c r="D59" s="425"/>
      <c r="E59" s="368"/>
      <c r="F59" s="368"/>
      <c r="G59" s="370"/>
      <c r="H59" s="385"/>
      <c r="I59" s="385"/>
      <c r="J59" s="670"/>
      <c r="K59" s="55"/>
      <c r="L59" s="385"/>
      <c r="M59" s="362">
        <f>SUM(M56:M58)</f>
        <v>42871.948483976797</v>
      </c>
      <c r="N59" s="363">
        <f>SUM(N56:N58)</f>
        <v>10228.84381</v>
      </c>
    </row>
    <row r="60" spans="2:14" ht="13.8">
      <c r="B60" s="365"/>
      <c r="C60" s="366"/>
      <c r="D60" s="425"/>
      <c r="E60" s="368"/>
      <c r="F60" s="368"/>
      <c r="G60" s="370"/>
      <c r="H60" s="385"/>
      <c r="I60" s="385"/>
      <c r="J60" s="670"/>
      <c r="K60" s="60"/>
      <c r="L60" s="385"/>
      <c r="M60" s="349"/>
      <c r="N60" s="349"/>
    </row>
    <row r="61" spans="2:14" ht="14.4" thickBot="1">
      <c r="B61" s="345" t="s">
        <v>528</v>
      </c>
      <c r="C61" s="345"/>
      <c r="D61" s="345"/>
      <c r="E61" s="345"/>
      <c r="F61" s="345"/>
      <c r="G61" s="345"/>
      <c r="H61" s="345"/>
      <c r="I61" s="574"/>
      <c r="J61" s="666"/>
      <c r="K61" s="55"/>
      <c r="L61" s="346"/>
      <c r="M61" s="347">
        <f>+M69++M72+M82</f>
        <v>657620.89549515047</v>
      </c>
      <c r="N61" s="347">
        <f>+N69+N72+N82</f>
        <v>156902.1624647245</v>
      </c>
    </row>
    <row r="62" spans="2:14" ht="14.4" thickTop="1">
      <c r="B62" s="376"/>
      <c r="C62" s="344"/>
      <c r="D62" s="413"/>
      <c r="E62" s="344"/>
      <c r="F62" s="344"/>
      <c r="G62" s="344"/>
      <c r="H62" s="344"/>
      <c r="I62" s="344"/>
      <c r="J62" s="665"/>
      <c r="K62" s="60"/>
      <c r="L62" s="344"/>
      <c r="M62" s="426"/>
      <c r="N62" s="426"/>
    </row>
    <row r="63" spans="2:14" ht="13.8">
      <c r="B63" s="786" t="s">
        <v>529</v>
      </c>
      <c r="C63" s="530" t="s">
        <v>530</v>
      </c>
      <c r="D63" s="351" t="s">
        <v>531</v>
      </c>
      <c r="E63" s="353">
        <v>41668</v>
      </c>
      <c r="F63" s="353">
        <v>47192</v>
      </c>
      <c r="G63" s="354">
        <v>15.134246575342466</v>
      </c>
      <c r="H63" s="381" t="s">
        <v>532</v>
      </c>
      <c r="I63" s="403" t="s">
        <v>526</v>
      </c>
      <c r="J63" s="669">
        <v>1.7999999999999999E-2</v>
      </c>
      <c r="K63" s="60"/>
      <c r="L63" s="383">
        <v>111967686.82000001</v>
      </c>
      <c r="M63" s="393">
        <v>97378.802792230883</v>
      </c>
      <c r="N63" s="357">
        <v>23233.666753886853</v>
      </c>
    </row>
    <row r="64" spans="2:14" ht="13.8">
      <c r="B64" s="787"/>
      <c r="C64" s="530" t="s">
        <v>533</v>
      </c>
      <c r="D64" s="351" t="s">
        <v>531</v>
      </c>
      <c r="E64" s="353">
        <v>41668</v>
      </c>
      <c r="F64" s="353">
        <v>45306</v>
      </c>
      <c r="G64" s="354">
        <v>9.9671232876712335</v>
      </c>
      <c r="H64" s="381" t="s">
        <v>506</v>
      </c>
      <c r="I64" s="403"/>
      <c r="J64" s="669">
        <v>3.5000000000000003E-2</v>
      </c>
      <c r="K64" s="55"/>
      <c r="L64" s="383">
        <v>5956462.3200000022</v>
      </c>
      <c r="M64" s="393">
        <v>5180.3621747683273</v>
      </c>
      <c r="N64" s="357">
        <v>1235.9857071749748</v>
      </c>
    </row>
    <row r="65" spans="2:14" ht="13.8">
      <c r="B65" s="787"/>
      <c r="C65" s="530" t="s">
        <v>534</v>
      </c>
      <c r="D65" s="351" t="s">
        <v>531</v>
      </c>
      <c r="E65" s="353">
        <v>41668</v>
      </c>
      <c r="F65" s="353">
        <v>47192</v>
      </c>
      <c r="G65" s="354">
        <v>15.134246575342466</v>
      </c>
      <c r="H65" s="381" t="s">
        <v>532</v>
      </c>
      <c r="I65" s="403" t="s">
        <v>526</v>
      </c>
      <c r="J65" s="669">
        <v>0</v>
      </c>
      <c r="K65" s="60"/>
      <c r="L65" s="383">
        <v>931840.14</v>
      </c>
      <c r="M65" s="393">
        <v>810.42557727231974</v>
      </c>
      <c r="N65" s="357">
        <v>193.35992280933743</v>
      </c>
    </row>
    <row r="66" spans="2:14" ht="13.8">
      <c r="B66" s="787"/>
      <c r="C66" s="530" t="s">
        <v>535</v>
      </c>
      <c r="D66" s="351" t="s">
        <v>531</v>
      </c>
      <c r="E66" s="353">
        <v>42955</v>
      </c>
      <c r="F66" s="353">
        <v>48288</v>
      </c>
      <c r="G66" s="354">
        <v>14.610958904109589</v>
      </c>
      <c r="H66" s="381" t="s">
        <v>532</v>
      </c>
      <c r="I66" s="403" t="s">
        <v>526</v>
      </c>
      <c r="J66" s="669">
        <v>2.6200000000000001E-2</v>
      </c>
      <c r="K66" s="60"/>
      <c r="L66" s="383">
        <v>172724369.44999999</v>
      </c>
      <c r="M66" s="393">
        <v>150219.16400866103</v>
      </c>
      <c r="N66" s="357">
        <v>35840.880115062952</v>
      </c>
    </row>
    <row r="67" spans="2:14" ht="13.8">
      <c r="B67" s="787"/>
      <c r="C67" s="530" t="s">
        <v>536</v>
      </c>
      <c r="D67" s="351" t="s">
        <v>531</v>
      </c>
      <c r="E67" s="353">
        <v>42955</v>
      </c>
      <c r="F67" s="353">
        <v>48288</v>
      </c>
      <c r="G67" s="354">
        <v>14.610958904109589</v>
      </c>
      <c r="H67" s="381" t="s">
        <v>532</v>
      </c>
      <c r="I67" s="403" t="s">
        <v>526</v>
      </c>
      <c r="J67" s="669">
        <v>0</v>
      </c>
      <c r="K67" s="55"/>
      <c r="L67" s="383">
        <v>1025625.15</v>
      </c>
      <c r="M67" s="393">
        <v>891.99082393441381</v>
      </c>
      <c r="N67" s="357">
        <v>212.8206237556102</v>
      </c>
    </row>
    <row r="68" spans="2:14" ht="13.8">
      <c r="B68" s="788"/>
      <c r="C68" s="530" t="s">
        <v>538</v>
      </c>
      <c r="D68" s="351" t="s">
        <v>531</v>
      </c>
      <c r="E68" s="353">
        <v>44641</v>
      </c>
      <c r="F68" s="353">
        <v>51850</v>
      </c>
      <c r="G68" s="354">
        <v>19.75068493150685</v>
      </c>
      <c r="H68" s="381" t="s">
        <v>539</v>
      </c>
      <c r="I68" s="403" t="s">
        <v>526</v>
      </c>
      <c r="J68" s="669">
        <v>2.01E-2</v>
      </c>
      <c r="K68" s="55"/>
      <c r="L68" s="383">
        <v>235463344.70843694</v>
      </c>
      <c r="M68" s="393">
        <v>204783.53407463882</v>
      </c>
      <c r="N68" s="357">
        <v>48859.425777957767</v>
      </c>
    </row>
    <row r="69" spans="2:14" ht="14.4">
      <c r="B69"/>
      <c r="C69" s="366"/>
      <c r="D69" s="408"/>
      <c r="E69" s="368"/>
      <c r="F69" s="368"/>
      <c r="G69" s="367"/>
      <c r="H69" s="385"/>
      <c r="I69" s="385"/>
      <c r="J69" s="670"/>
      <c r="K69" s="55"/>
      <c r="L69" s="416"/>
      <c r="M69" s="362">
        <f>SUM(M63:M68)</f>
        <v>459264.2794515058</v>
      </c>
      <c r="N69" s="363">
        <f>SUM(N63:N68)</f>
        <v>109576.13890064749</v>
      </c>
    </row>
    <row r="70" spans="2:14" ht="14.4">
      <c r="B70"/>
      <c r="C70" s="366"/>
      <c r="D70" s="408"/>
      <c r="E70" s="368"/>
      <c r="F70" s="368"/>
      <c r="G70" s="367"/>
      <c r="H70" s="385"/>
      <c r="I70" s="385"/>
      <c r="J70" s="670"/>
      <c r="K70" s="60"/>
      <c r="L70" s="416"/>
      <c r="M70" s="349"/>
      <c r="N70" s="349"/>
    </row>
    <row r="71" spans="2:14" ht="13.8">
      <c r="B71" s="399" t="s">
        <v>540</v>
      </c>
      <c r="C71" s="351" t="s">
        <v>541</v>
      </c>
      <c r="D71" s="351" t="s">
        <v>531</v>
      </c>
      <c r="E71" s="353">
        <v>40317</v>
      </c>
      <c r="F71" s="353">
        <v>47622</v>
      </c>
      <c r="G71" s="354">
        <v>20.013698630136986</v>
      </c>
      <c r="H71" s="381" t="s">
        <v>506</v>
      </c>
      <c r="I71" s="403"/>
      <c r="J71" s="669">
        <v>8.5000000000000006E-2</v>
      </c>
      <c r="K71" s="60"/>
      <c r="L71" s="383">
        <v>114642252.11999997</v>
      </c>
      <c r="M71" s="393">
        <v>99704.884309743007</v>
      </c>
      <c r="N71" s="357">
        <v>23788.64793326693</v>
      </c>
    </row>
    <row r="72" spans="2:14" ht="14.4">
      <c r="B72"/>
      <c r="C72" s="366"/>
      <c r="D72" s="408"/>
      <c r="E72" s="368"/>
      <c r="F72" s="368"/>
      <c r="G72" s="367"/>
      <c r="H72" s="385"/>
      <c r="I72" s="385"/>
      <c r="J72" s="670"/>
      <c r="K72" s="55"/>
      <c r="L72" s="416"/>
      <c r="M72" s="362">
        <f>+M71</f>
        <v>99704.884309743007</v>
      </c>
      <c r="N72" s="363">
        <f>+N71</f>
        <v>23788.64793326693</v>
      </c>
    </row>
    <row r="73" spans="2:14" ht="14.4">
      <c r="B73"/>
      <c r="C73" s="366"/>
      <c r="D73" s="366"/>
      <c r="E73" s="368"/>
      <c r="F73" s="368"/>
      <c r="G73" s="370"/>
      <c r="H73" s="385"/>
      <c r="I73" s="385"/>
      <c r="J73" s="670"/>
      <c r="K73" s="60"/>
      <c r="L73" s="416"/>
      <c r="M73" s="349"/>
      <c r="N73" s="349"/>
    </row>
    <row r="74" spans="2:14" ht="13.8">
      <c r="B74" s="775" t="s">
        <v>542</v>
      </c>
      <c r="C74" s="516" t="s">
        <v>543</v>
      </c>
      <c r="D74" s="431" t="s">
        <v>531</v>
      </c>
      <c r="E74" s="432">
        <v>43595</v>
      </c>
      <c r="F74" s="432">
        <v>45422</v>
      </c>
      <c r="G74" s="354">
        <v>5.0054794520547947</v>
      </c>
      <c r="H74" s="433" t="s">
        <v>537</v>
      </c>
      <c r="I74" s="434" t="s">
        <v>526</v>
      </c>
      <c r="J74" s="667">
        <v>2.5000000000000001E-2</v>
      </c>
      <c r="K74" s="55"/>
      <c r="L74" s="357">
        <v>4583333.4999999963</v>
      </c>
      <c r="M74" s="393">
        <v>3986.1458234320335</v>
      </c>
      <c r="N74" s="357">
        <v>951.05691422000768</v>
      </c>
    </row>
    <row r="75" spans="2:14" ht="13.8">
      <c r="B75" s="776"/>
      <c r="C75" s="516" t="s">
        <v>545</v>
      </c>
      <c r="D75" s="431" t="s">
        <v>531</v>
      </c>
      <c r="E75" s="432">
        <v>43896</v>
      </c>
      <c r="F75" s="432">
        <v>45516</v>
      </c>
      <c r="G75" s="354">
        <v>4.4383561643835616</v>
      </c>
      <c r="H75" s="433" t="s">
        <v>537</v>
      </c>
      <c r="I75" s="434" t="s">
        <v>526</v>
      </c>
      <c r="J75" s="667">
        <v>3.7499999999999999E-2</v>
      </c>
      <c r="K75" s="55"/>
      <c r="L75" s="357">
        <v>31150525.609999999</v>
      </c>
      <c r="M75" s="393">
        <v>27091.752663866635</v>
      </c>
      <c r="N75" s="357">
        <v>6463.8374586920081</v>
      </c>
    </row>
    <row r="76" spans="2:14" ht="13.8">
      <c r="B76" s="776"/>
      <c r="C76" s="516" t="s">
        <v>544</v>
      </c>
      <c r="D76" s="431" t="s">
        <v>531</v>
      </c>
      <c r="E76" s="432">
        <v>44158</v>
      </c>
      <c r="F76" s="432">
        <v>45253</v>
      </c>
      <c r="G76" s="354">
        <v>3</v>
      </c>
      <c r="H76" s="433" t="s">
        <v>537</v>
      </c>
      <c r="I76" s="434" t="s">
        <v>526</v>
      </c>
      <c r="J76" s="667">
        <v>3.9E-2</v>
      </c>
      <c r="K76" s="55"/>
      <c r="L76" s="357">
        <v>1200000</v>
      </c>
      <c r="M76" s="393">
        <v>1043.6454140023727</v>
      </c>
      <c r="N76" s="357">
        <v>249.00398303200282</v>
      </c>
    </row>
    <row r="77" spans="2:14" ht="13.8">
      <c r="B77" s="776"/>
      <c r="C77" s="517" t="s">
        <v>547</v>
      </c>
      <c r="D77" s="377" t="s">
        <v>531</v>
      </c>
      <c r="E77" s="432">
        <v>44161</v>
      </c>
      <c r="F77" s="432">
        <v>45257</v>
      </c>
      <c r="G77" s="380">
        <v>3.0027397260273974</v>
      </c>
      <c r="H77" s="381" t="s">
        <v>537</v>
      </c>
      <c r="I77" s="414" t="s">
        <v>526</v>
      </c>
      <c r="J77" s="671">
        <v>3.1E-2</v>
      </c>
      <c r="K77" s="60"/>
      <c r="L77" s="357">
        <v>7089990</v>
      </c>
      <c r="M77" s="393">
        <v>6166.196290685567</v>
      </c>
      <c r="N77" s="357">
        <v>1471.1964580475576</v>
      </c>
    </row>
    <row r="78" spans="2:14" ht="13.8">
      <c r="B78" s="776"/>
      <c r="C78" s="517" t="s">
        <v>548</v>
      </c>
      <c r="D78" s="377" t="s">
        <v>531</v>
      </c>
      <c r="E78" s="432">
        <v>44713</v>
      </c>
      <c r="F78" s="432">
        <v>45800</v>
      </c>
      <c r="G78" s="380">
        <v>2.978082191780822</v>
      </c>
      <c r="H78" s="381" t="s">
        <v>506</v>
      </c>
      <c r="I78" s="414">
        <v>0</v>
      </c>
      <c r="J78" s="671">
        <v>0.1525</v>
      </c>
      <c r="K78" s="55"/>
      <c r="L78" s="357">
        <v>4407471.9999999981</v>
      </c>
      <c r="M78" s="393">
        <v>3833.1982834532196</v>
      </c>
      <c r="N78" s="357">
        <v>914.56506925168912</v>
      </c>
    </row>
    <row r="79" spans="2:14" ht="13.8">
      <c r="B79" s="776"/>
      <c r="C79" s="517" t="s">
        <v>549</v>
      </c>
      <c r="D79" s="377" t="s">
        <v>531</v>
      </c>
      <c r="E79" s="432">
        <v>44771</v>
      </c>
      <c r="F79" s="432">
        <v>45866</v>
      </c>
      <c r="G79" s="380">
        <v>3</v>
      </c>
      <c r="H79" s="381" t="s">
        <v>537</v>
      </c>
      <c r="I79" s="414" t="s">
        <v>526</v>
      </c>
      <c r="J79" s="671">
        <v>0.04</v>
      </c>
      <c r="K79" s="55"/>
      <c r="L79" s="357">
        <v>10000000</v>
      </c>
      <c r="M79" s="393">
        <v>8697.0451166864405</v>
      </c>
      <c r="N79" s="357">
        <v>2075.0331919333571</v>
      </c>
    </row>
    <row r="80" spans="2:14" ht="13.8">
      <c r="B80" s="776"/>
      <c r="C80" s="517" t="s">
        <v>546</v>
      </c>
      <c r="D80" s="377" t="s">
        <v>531</v>
      </c>
      <c r="E80" s="432">
        <v>44918</v>
      </c>
      <c r="F80" s="432">
        <v>45281</v>
      </c>
      <c r="G80" s="380">
        <v>0.9945205479452055</v>
      </c>
      <c r="H80" s="381" t="s">
        <v>537</v>
      </c>
      <c r="I80" s="414" t="s">
        <v>526</v>
      </c>
      <c r="J80" s="671">
        <v>3.9201184906457298E-2</v>
      </c>
      <c r="K80" s="55"/>
      <c r="L80" s="357">
        <v>50000000</v>
      </c>
      <c r="M80" s="393">
        <v>43485.225583432191</v>
      </c>
      <c r="N80" s="357">
        <v>10375.165959666783</v>
      </c>
    </row>
    <row r="81" spans="2:14" ht="13.8">
      <c r="B81" s="777"/>
      <c r="C81" s="517" t="s">
        <v>547</v>
      </c>
      <c r="D81" s="377" t="s">
        <v>531</v>
      </c>
      <c r="E81" s="432">
        <v>44967</v>
      </c>
      <c r="F81" s="432">
        <v>45880</v>
      </c>
      <c r="G81" s="380">
        <v>2.5013698630136987</v>
      </c>
      <c r="H81" s="381" t="s">
        <v>537</v>
      </c>
      <c r="I81" s="414" t="s">
        <v>501</v>
      </c>
      <c r="J81" s="671">
        <v>3.1E-2</v>
      </c>
      <c r="K81" s="55"/>
      <c r="L81" s="357">
        <v>5000000</v>
      </c>
      <c r="M81" s="393">
        <v>4348.5225583432202</v>
      </c>
      <c r="N81" s="357">
        <v>1037.5165959666786</v>
      </c>
    </row>
    <row r="82" spans="2:14" ht="13.8">
      <c r="B82" s="658"/>
      <c r="C82" s="427"/>
      <c r="D82" s="427"/>
      <c r="E82" s="369"/>
      <c r="F82" s="369"/>
      <c r="G82" s="428"/>
      <c r="H82" s="371"/>
      <c r="I82" s="429"/>
      <c r="J82" s="674"/>
      <c r="K82" s="55"/>
      <c r="L82" s="430"/>
      <c r="M82" s="362">
        <f>SUM(M74:M81)</f>
        <v>98651.731733901688</v>
      </c>
      <c r="N82" s="363">
        <f>SUM(N74:N81)</f>
        <v>23537.375630810082</v>
      </c>
    </row>
    <row r="83" spans="2:14" ht="13.8">
      <c r="B83" s="365"/>
    </row>
    <row r="84" spans="2:14" ht="13.8">
      <c r="B84" s="365"/>
      <c r="C84" s="366"/>
      <c r="D84" s="366"/>
      <c r="E84" s="368"/>
      <c r="F84" s="368"/>
      <c r="G84" s="370"/>
      <c r="H84" s="385"/>
      <c r="I84" s="385"/>
      <c r="J84" s="670"/>
      <c r="K84" s="55"/>
      <c r="L84" s="416"/>
      <c r="M84" s="435"/>
      <c r="N84" s="436"/>
    </row>
    <row r="85" spans="2:14" ht="14.4" thickBot="1">
      <c r="B85" s="345" t="s">
        <v>550</v>
      </c>
      <c r="C85" s="345"/>
      <c r="D85" s="345"/>
      <c r="E85" s="345"/>
      <c r="F85" s="345"/>
      <c r="G85" s="345"/>
      <c r="H85" s="345"/>
      <c r="I85" s="574"/>
      <c r="J85" s="666"/>
      <c r="K85" s="60"/>
      <c r="L85" s="346"/>
      <c r="M85" s="347">
        <f>+M90+M98+M102+M108+M113</f>
        <v>1503161.7517424631</v>
      </c>
      <c r="N85" s="577">
        <f>+N90+N98+N102+N108+N113</f>
        <v>358640.26067035919</v>
      </c>
    </row>
    <row r="86" spans="2:14" ht="14.4" thickTop="1">
      <c r="B86" s="376"/>
      <c r="C86" s="344"/>
      <c r="D86" s="413"/>
      <c r="E86" s="344"/>
      <c r="F86" s="344"/>
      <c r="G86" s="344"/>
      <c r="H86" s="344"/>
      <c r="I86" s="344"/>
      <c r="J86" s="665"/>
      <c r="K86" s="55"/>
      <c r="L86" s="389"/>
      <c r="M86" s="349"/>
      <c r="N86" s="349"/>
    </row>
    <row r="87" spans="2:14" ht="13.8">
      <c r="B87" s="779" t="s">
        <v>551</v>
      </c>
      <c r="C87" s="351" t="s">
        <v>554</v>
      </c>
      <c r="D87" s="351" t="s">
        <v>552</v>
      </c>
      <c r="E87" s="353">
        <v>43976</v>
      </c>
      <c r="F87" s="353">
        <v>45407</v>
      </c>
      <c r="G87" s="354">
        <v>3.9205479452054797</v>
      </c>
      <c r="H87" s="355" t="s">
        <v>506</v>
      </c>
      <c r="I87" s="403"/>
      <c r="J87" s="669">
        <v>3.5000000000000003E-2</v>
      </c>
      <c r="K87" s="60"/>
      <c r="L87" s="383">
        <v>172179432.41436195</v>
      </c>
      <c r="M87" s="393">
        <v>900.19204946532432</v>
      </c>
      <c r="N87" s="357">
        <v>214.77735905626071</v>
      </c>
    </row>
    <row r="88" spans="2:14" ht="14.4">
      <c r="B88" s="785"/>
      <c r="C88" s="351" t="s">
        <v>554</v>
      </c>
      <c r="D88" s="351" t="s">
        <v>552</v>
      </c>
      <c r="E88" s="353">
        <v>44259</v>
      </c>
      <c r="F88" s="353">
        <v>46083</v>
      </c>
      <c r="G88" s="354">
        <v>4.9972602739726026</v>
      </c>
      <c r="H88" s="355" t="s">
        <v>506</v>
      </c>
      <c r="I88" s="403"/>
      <c r="J88" s="669">
        <v>4.8599999999999997E-2</v>
      </c>
      <c r="K88"/>
      <c r="L88" s="383">
        <v>1414475767</v>
      </c>
      <c r="M88" s="393">
        <v>7395.1912941057954</v>
      </c>
      <c r="N88" s="357">
        <v>1764.4231103877089</v>
      </c>
    </row>
    <row r="89" spans="2:14" ht="13.8">
      <c r="B89" s="780"/>
      <c r="C89" s="351" t="s">
        <v>517</v>
      </c>
      <c r="D89" s="351" t="s">
        <v>518</v>
      </c>
      <c r="E89" s="353">
        <v>44741</v>
      </c>
      <c r="F89" s="353">
        <v>45644</v>
      </c>
      <c r="G89" s="354">
        <v>2.473972602739726</v>
      </c>
      <c r="H89" s="355" t="s">
        <v>506</v>
      </c>
      <c r="I89" s="403"/>
      <c r="J89" s="669">
        <v>5.8799999999999998E-2</v>
      </c>
      <c r="K89" s="55"/>
      <c r="L89" s="383">
        <v>1500000.3837522138</v>
      </c>
      <c r="M89" s="393">
        <v>6286.8845559353094</v>
      </c>
      <c r="N89" s="357">
        <v>1499.9915433794235</v>
      </c>
    </row>
    <row r="90" spans="2:14" ht="14.4">
      <c r="B90" s="36"/>
      <c r="C90" s="366"/>
      <c r="D90" s="408"/>
      <c r="E90" s="368"/>
      <c r="F90" s="368"/>
      <c r="G90" s="367"/>
      <c r="H90" s="411"/>
      <c r="I90" s="411"/>
      <c r="J90" s="670"/>
      <c r="K90" s="60"/>
      <c r="L90" s="416"/>
      <c r="M90" s="362">
        <f>SUM(M87:M89)</f>
        <v>14582.267899506431</v>
      </c>
      <c r="N90" s="363">
        <f>SUM(N87:N89)</f>
        <v>3479.1920128233933</v>
      </c>
    </row>
    <row r="91" spans="2:14" ht="14.4">
      <c r="B91" s="36"/>
      <c r="C91" s="366"/>
      <c r="D91" s="408"/>
      <c r="E91" s="368"/>
      <c r="F91" s="368"/>
      <c r="G91" s="367"/>
      <c r="H91" s="411"/>
      <c r="I91" s="411"/>
      <c r="J91" s="670"/>
      <c r="K91" s="55"/>
      <c r="L91" s="416"/>
      <c r="M91" s="349"/>
      <c r="N91" s="350"/>
    </row>
    <row r="92" spans="2:14" ht="13.8">
      <c r="B92" s="781" t="s">
        <v>555</v>
      </c>
      <c r="C92" s="351" t="s">
        <v>1191</v>
      </c>
      <c r="D92" s="351" t="s">
        <v>552</v>
      </c>
      <c r="E92" s="353">
        <v>44336</v>
      </c>
      <c r="F92" s="353">
        <v>45366</v>
      </c>
      <c r="G92" s="354">
        <v>2.8219178082191783</v>
      </c>
      <c r="H92" s="355" t="s">
        <v>506</v>
      </c>
      <c r="I92" s="403"/>
      <c r="J92" s="669">
        <v>2.1499999999999998E-2</v>
      </c>
      <c r="K92" s="55"/>
      <c r="L92" s="383">
        <v>2208208751</v>
      </c>
      <c r="M92" s="393">
        <v>11545.068386172943</v>
      </c>
      <c r="N92" s="357">
        <v>2754.5447658407325</v>
      </c>
    </row>
    <row r="93" spans="2:14" ht="13.8">
      <c r="B93" s="782"/>
      <c r="C93" s="351" t="s">
        <v>1192</v>
      </c>
      <c r="D93" s="351" t="s">
        <v>552</v>
      </c>
      <c r="E93" s="353">
        <v>44336</v>
      </c>
      <c r="F93" s="353">
        <v>45366</v>
      </c>
      <c r="G93" s="354">
        <v>2.8219178082191783</v>
      </c>
      <c r="H93" s="355" t="s">
        <v>506</v>
      </c>
      <c r="I93" s="403"/>
      <c r="J93" s="669">
        <v>2.1499999999999998E-2</v>
      </c>
      <c r="K93" s="60"/>
      <c r="L93" s="383">
        <v>283375574</v>
      </c>
      <c r="M93" s="393">
        <v>1481.5584710093431</v>
      </c>
      <c r="N93" s="357">
        <v>353.48592100965413</v>
      </c>
    </row>
    <row r="94" spans="2:14" ht="13.8">
      <c r="B94" s="782"/>
      <c r="C94" s="351" t="s">
        <v>1210</v>
      </c>
      <c r="D94" s="351" t="s">
        <v>552</v>
      </c>
      <c r="E94" s="353">
        <v>44336</v>
      </c>
      <c r="F94" s="353">
        <v>45366</v>
      </c>
      <c r="G94" s="354">
        <v>2.8219178082191783</v>
      </c>
      <c r="H94" s="381" t="s">
        <v>506</v>
      </c>
      <c r="I94" s="403"/>
      <c r="J94" s="669">
        <v>2.1499999999999998E-2</v>
      </c>
      <c r="K94" s="55"/>
      <c r="L94" s="383">
        <v>1837874686</v>
      </c>
      <c r="M94" s="393">
        <v>9608.8691458528319</v>
      </c>
      <c r="N94" s="357">
        <v>2292.5858319780191</v>
      </c>
    </row>
    <row r="95" spans="2:14" ht="13.8">
      <c r="B95" s="782"/>
      <c r="C95" s="351" t="s">
        <v>1191</v>
      </c>
      <c r="D95" s="351" t="s">
        <v>556</v>
      </c>
      <c r="E95" s="353">
        <v>44819</v>
      </c>
      <c r="F95" s="353">
        <v>45731</v>
      </c>
      <c r="G95" s="354">
        <v>2.4986301369863013</v>
      </c>
      <c r="H95" s="355" t="s">
        <v>553</v>
      </c>
      <c r="I95" s="403"/>
      <c r="J95" s="669">
        <v>1.2800000000000001E-2</v>
      </c>
      <c r="K95" s="55"/>
      <c r="L95" s="383">
        <v>970795.99</v>
      </c>
      <c r="M95" s="393">
        <v>183174.48593693285</v>
      </c>
      <c r="N95" s="357">
        <v>43703.710068745793</v>
      </c>
    </row>
    <row r="96" spans="2:14" ht="13.8">
      <c r="B96" s="782"/>
      <c r="C96" s="351" t="s">
        <v>566</v>
      </c>
      <c r="D96" s="351" t="s">
        <v>556</v>
      </c>
      <c r="E96" s="353">
        <v>44819</v>
      </c>
      <c r="F96" s="353">
        <v>45731</v>
      </c>
      <c r="G96" s="354">
        <v>2.4986301369863013</v>
      </c>
      <c r="H96" s="355" t="s">
        <v>553</v>
      </c>
      <c r="I96" s="403"/>
      <c r="J96" s="669">
        <v>1.2800000000000001E-2</v>
      </c>
      <c r="K96" s="60"/>
      <c r="L96" s="383">
        <v>399549.68</v>
      </c>
      <c r="M96" s="393">
        <v>75388.96739804832</v>
      </c>
      <c r="N96" s="357">
        <v>17987.098785585389</v>
      </c>
    </row>
    <row r="97" spans="2:14" ht="13.8">
      <c r="B97" s="782"/>
      <c r="C97" s="351" t="s">
        <v>1193</v>
      </c>
      <c r="D97" s="351" t="s">
        <v>556</v>
      </c>
      <c r="E97" s="353">
        <v>44819</v>
      </c>
      <c r="F97" s="353">
        <v>45731</v>
      </c>
      <c r="G97" s="354">
        <v>2.4986301369863013</v>
      </c>
      <c r="H97" s="381" t="s">
        <v>553</v>
      </c>
      <c r="I97" s="403"/>
      <c r="J97" s="669">
        <v>1.2800000000000001E-2</v>
      </c>
      <c r="K97" s="55"/>
      <c r="L97" s="383">
        <v>533177.12969999993</v>
      </c>
      <c r="M97" s="393">
        <v>100602.44134931674</v>
      </c>
      <c r="N97" s="357">
        <v>24002.796603738414</v>
      </c>
    </row>
    <row r="98" spans="2:14" ht="14.4">
      <c r="B98" s="360"/>
      <c r="C98" s="366"/>
      <c r="D98" s="408"/>
      <c r="E98" s="368"/>
      <c r="F98" s="368"/>
      <c r="G98" s="367"/>
      <c r="H98" s="411"/>
      <c r="I98" s="411"/>
      <c r="J98" s="670"/>
      <c r="K98" s="60"/>
      <c r="L98"/>
      <c r="M98" s="362">
        <f>SUM(M92:M97)</f>
        <v>381801.39068733301</v>
      </c>
      <c r="N98" s="363">
        <f>SUM(N92:N97)</f>
        <v>91094.221976897999</v>
      </c>
    </row>
    <row r="99" spans="2:14" ht="13.8">
      <c r="B99" s="395"/>
      <c r="C99" s="366"/>
      <c r="D99" s="408"/>
      <c r="E99" s="368"/>
      <c r="F99" s="368"/>
      <c r="G99" s="367"/>
      <c r="H99" s="411"/>
      <c r="I99" s="411"/>
      <c r="J99" s="670"/>
      <c r="K99" s="55"/>
      <c r="L99" s="416"/>
      <c r="M99" s="437"/>
      <c r="N99" s="349"/>
    </row>
    <row r="100" spans="2:14" ht="13.8">
      <c r="B100" s="797" t="s">
        <v>558</v>
      </c>
      <c r="C100" s="530" t="s">
        <v>1211</v>
      </c>
      <c r="D100" s="351" t="s">
        <v>556</v>
      </c>
      <c r="E100" s="578">
        <v>43539</v>
      </c>
      <c r="F100" s="578">
        <v>45915</v>
      </c>
      <c r="G100" s="354">
        <v>6.5095890410958903</v>
      </c>
      <c r="H100" s="355" t="s">
        <v>560</v>
      </c>
      <c r="I100" s="403" t="s">
        <v>526</v>
      </c>
      <c r="J100" s="669">
        <v>8.9999999999999993E-3</v>
      </c>
      <c r="K100" s="60"/>
      <c r="L100" s="383">
        <v>536068.5</v>
      </c>
      <c r="M100" s="393">
        <v>101148.06592663088</v>
      </c>
      <c r="N100" s="357">
        <v>24132.9774977169</v>
      </c>
    </row>
    <row r="101" spans="2:14" ht="13.8">
      <c r="B101" s="798"/>
      <c r="C101" s="530" t="s">
        <v>559</v>
      </c>
      <c r="D101" s="351" t="s">
        <v>556</v>
      </c>
      <c r="E101" s="578">
        <v>43539</v>
      </c>
      <c r="F101" s="578">
        <v>45915</v>
      </c>
      <c r="G101" s="354">
        <v>6.5095890410958903</v>
      </c>
      <c r="H101" s="355" t="s">
        <v>560</v>
      </c>
      <c r="I101" s="403" t="s">
        <v>526</v>
      </c>
      <c r="J101" s="669">
        <v>8.9999999999999993E-3</v>
      </c>
      <c r="K101" s="55"/>
      <c r="L101" s="383">
        <v>459065.29</v>
      </c>
      <c r="M101" s="393">
        <v>86618.717976430111</v>
      </c>
      <c r="N101" s="357">
        <v>20666.411687224456</v>
      </c>
    </row>
    <row r="102" spans="2:14" ht="14.4">
      <c r="B102" s="36"/>
      <c r="C102"/>
      <c r="D102"/>
      <c r="E102"/>
      <c r="F102"/>
      <c r="G102"/>
      <c r="H102" s="402"/>
      <c r="I102" s="402"/>
      <c r="J102" s="668"/>
      <c r="K102" s="60"/>
      <c r="L102" s="416"/>
      <c r="M102" s="362">
        <f>SUM(M100:M101)</f>
        <v>187766.783903061</v>
      </c>
      <c r="N102" s="363">
        <f>SUM(N100:N101)</f>
        <v>44799.389184941356</v>
      </c>
    </row>
    <row r="103" spans="2:14" ht="13.8">
      <c r="B103" s="376"/>
      <c r="C103" s="344"/>
      <c r="D103" s="413"/>
      <c r="E103" s="344"/>
      <c r="F103" s="344"/>
      <c r="G103" s="344"/>
      <c r="H103" s="344"/>
      <c r="I103" s="344"/>
      <c r="J103" s="665"/>
      <c r="K103" s="55"/>
      <c r="L103" s="438"/>
      <c r="M103" s="349"/>
      <c r="N103" s="349"/>
    </row>
    <row r="104" spans="2:14" ht="13.8">
      <c r="B104" s="779" t="s">
        <v>561</v>
      </c>
      <c r="C104" s="377" t="s">
        <v>562</v>
      </c>
      <c r="D104" s="579" t="s">
        <v>556</v>
      </c>
      <c r="E104" s="578">
        <v>43370</v>
      </c>
      <c r="F104" s="578">
        <v>54954</v>
      </c>
      <c r="G104" s="354">
        <v>31.736986301369864</v>
      </c>
      <c r="H104" s="355" t="s">
        <v>506</v>
      </c>
      <c r="I104" s="403"/>
      <c r="J104" s="669">
        <v>3.85E-2</v>
      </c>
      <c r="K104" s="60"/>
      <c r="L104" s="383">
        <v>87000</v>
      </c>
      <c r="M104" s="393">
        <v>16415.583994144505</v>
      </c>
      <c r="N104" s="357">
        <v>3916.6039954726257</v>
      </c>
    </row>
    <row r="105" spans="2:14" ht="13.8">
      <c r="B105" s="785"/>
      <c r="C105" s="377" t="s">
        <v>563</v>
      </c>
      <c r="D105" s="579" t="s">
        <v>556</v>
      </c>
      <c r="E105" s="578">
        <v>43370</v>
      </c>
      <c r="F105" s="578">
        <v>54954</v>
      </c>
      <c r="G105" s="354">
        <v>31.736986301369864</v>
      </c>
      <c r="H105" s="355" t="s">
        <v>506</v>
      </c>
      <c r="I105" s="403"/>
      <c r="J105" s="669">
        <v>3.85E-2</v>
      </c>
      <c r="K105" s="55"/>
      <c r="L105" s="383">
        <v>864500</v>
      </c>
      <c r="M105" s="393">
        <v>163118.07313721746</v>
      </c>
      <c r="N105" s="357">
        <v>38918.438552713604</v>
      </c>
    </row>
    <row r="106" spans="2:14" ht="13.8">
      <c r="B106" s="785"/>
      <c r="C106" s="377" t="s">
        <v>564</v>
      </c>
      <c r="D106" s="579" t="s">
        <v>556</v>
      </c>
      <c r="E106" s="578">
        <v>43370</v>
      </c>
      <c r="F106" s="578">
        <v>54954</v>
      </c>
      <c r="G106" s="354">
        <v>31.736986301369864</v>
      </c>
      <c r="H106" s="355" t="s">
        <v>506</v>
      </c>
      <c r="I106" s="403"/>
      <c r="J106" s="669">
        <v>3.85E-2</v>
      </c>
      <c r="K106" s="60"/>
      <c r="L106" s="383">
        <v>345500</v>
      </c>
      <c r="M106" s="393">
        <v>65190.623792838225</v>
      </c>
      <c r="N106" s="357">
        <v>15553.869890066573</v>
      </c>
    </row>
    <row r="107" spans="2:14" ht="14.4" customHeight="1">
      <c r="B107" s="780"/>
      <c r="C107" s="377" t="s">
        <v>562</v>
      </c>
      <c r="D107" s="579" t="s">
        <v>552</v>
      </c>
      <c r="E107" s="578">
        <v>43370</v>
      </c>
      <c r="F107" s="578">
        <v>45275</v>
      </c>
      <c r="G107" s="354">
        <v>4.2191780821917808</v>
      </c>
      <c r="H107" s="355" t="s">
        <v>557</v>
      </c>
      <c r="I107" s="403" t="s">
        <v>526</v>
      </c>
      <c r="J107" s="669">
        <v>1.0999999999999999E-2</v>
      </c>
      <c r="K107" s="55"/>
      <c r="L107" s="383">
        <v>6917195084.9299698</v>
      </c>
      <c r="M107" s="393">
        <v>36164.834725980203</v>
      </c>
      <c r="N107" s="357">
        <v>8628.5895301626733</v>
      </c>
    </row>
    <row r="108" spans="2:14" ht="14.4">
      <c r="B108" s="36"/>
      <c r="C108" s="366"/>
      <c r="D108" s="408"/>
      <c r="E108" s="368"/>
      <c r="F108" s="368"/>
      <c r="G108" s="367"/>
      <c r="H108" s="385"/>
      <c r="I108" s="385"/>
      <c r="J108" s="670"/>
      <c r="K108" s="55"/>
      <c r="L108" s="416"/>
      <c r="M108" s="362">
        <f>SUM(M104:M107)</f>
        <v>280889.11565018038</v>
      </c>
      <c r="N108" s="363">
        <f>SUM(N104:N107)</f>
        <v>67017.501968415483</v>
      </c>
    </row>
    <row r="109" spans="2:14" ht="14.4">
      <c r="B109" s="36"/>
      <c r="C109" s="366"/>
      <c r="D109" s="408"/>
      <c r="E109" s="368"/>
      <c r="F109" s="368"/>
      <c r="G109" s="367"/>
      <c r="H109" s="385"/>
      <c r="I109" s="385"/>
      <c r="J109" s="670"/>
      <c r="K109" s="55"/>
      <c r="L109" s="416"/>
      <c r="M109" s="416"/>
      <c r="N109" s="416"/>
    </row>
    <row r="110" spans="2:14" ht="13.8">
      <c r="B110" s="775" t="s">
        <v>565</v>
      </c>
      <c r="C110" s="517" t="s">
        <v>566</v>
      </c>
      <c r="D110" s="579" t="s">
        <v>552</v>
      </c>
      <c r="E110" s="578">
        <v>44319</v>
      </c>
      <c r="F110" s="578">
        <v>45782</v>
      </c>
      <c r="G110" s="354">
        <v>4.0082191780821921</v>
      </c>
      <c r="H110" s="355" t="s">
        <v>506</v>
      </c>
      <c r="I110" s="403"/>
      <c r="J110" s="669">
        <v>2.0500000000000001E-2</v>
      </c>
      <c r="K110" s="60"/>
      <c r="L110" s="383">
        <v>44258865000</v>
      </c>
      <c r="M110" s="393">
        <v>231396.47194274032</v>
      </c>
      <c r="N110" s="357">
        <v>55209.022528378046</v>
      </c>
    </row>
    <row r="111" spans="2:14" ht="13.8">
      <c r="B111" s="776"/>
      <c r="C111" s="517" t="s">
        <v>517</v>
      </c>
      <c r="D111" s="579" t="s">
        <v>552</v>
      </c>
      <c r="E111" s="578">
        <v>44336</v>
      </c>
      <c r="F111" s="578">
        <v>46162</v>
      </c>
      <c r="G111" s="354">
        <v>5.0027397260273974</v>
      </c>
      <c r="H111" s="355" t="s">
        <v>506</v>
      </c>
      <c r="I111" s="403"/>
      <c r="J111" s="669">
        <v>2.5000000000000001E-2</v>
      </c>
      <c r="K111" s="60"/>
      <c r="L111" s="383">
        <v>68459977500</v>
      </c>
      <c r="M111" s="393">
        <v>357925.97172971757</v>
      </c>
      <c r="N111" s="357">
        <v>85397.771499331371</v>
      </c>
    </row>
    <row r="112" spans="2:14" ht="13.8">
      <c r="B112" s="777"/>
      <c r="C112" s="517" t="s">
        <v>567</v>
      </c>
      <c r="D112" s="579" t="s">
        <v>552</v>
      </c>
      <c r="E112" s="580">
        <v>44319</v>
      </c>
      <c r="F112" s="580">
        <v>45782</v>
      </c>
      <c r="G112" s="354">
        <v>4.0082191780821921</v>
      </c>
      <c r="H112" s="355" t="s">
        <v>506</v>
      </c>
      <c r="I112" s="403"/>
      <c r="J112" s="669">
        <v>-6.1999999999999998E-3</v>
      </c>
      <c r="K112" s="60"/>
      <c r="L112" s="383">
        <v>9333856847.7255402</v>
      </c>
      <c r="M112" s="393">
        <v>48799.749929924263</v>
      </c>
      <c r="N112" s="357">
        <v>11643.161499571555</v>
      </c>
    </row>
    <row r="113" spans="2:14" ht="14.4">
      <c r="B113"/>
      <c r="C113" s="366"/>
      <c r="D113" s="408"/>
      <c r="E113" s="368"/>
      <c r="F113" s="368"/>
      <c r="G113" s="367"/>
      <c r="H113" s="385"/>
      <c r="I113" s="385"/>
      <c r="J113" s="670"/>
      <c r="K113" s="55"/>
      <c r="L113" s="416"/>
      <c r="M113" s="362">
        <f>SUM(M110:M112)</f>
        <v>638122.19360238221</v>
      </c>
      <c r="N113" s="363">
        <f>SUM(N110:N112)</f>
        <v>152249.95552728095</v>
      </c>
    </row>
    <row r="114" spans="2:14" ht="14.4">
      <c r="B114"/>
      <c r="C114" s="366"/>
      <c r="D114" s="408"/>
      <c r="E114" s="368"/>
      <c r="F114" s="368"/>
      <c r="G114" s="367"/>
      <c r="H114" s="385"/>
      <c r="I114" s="385"/>
      <c r="J114" s="670"/>
      <c r="K114" s="55"/>
      <c r="L114" s="416"/>
      <c r="M114" s="416"/>
      <c r="N114" s="416"/>
    </row>
    <row r="115" spans="2:14" ht="14.4" thickBot="1">
      <c r="B115" s="796" t="s">
        <v>568</v>
      </c>
      <c r="C115" s="796"/>
      <c r="D115" s="621"/>
      <c r="E115" s="621"/>
      <c r="F115" s="621"/>
      <c r="G115" s="621"/>
      <c r="H115" s="621"/>
      <c r="I115" s="621"/>
      <c r="J115" s="675"/>
      <c r="K115" s="60"/>
      <c r="L115" s="439"/>
      <c r="M115" s="440">
        <f>+M6+M39+M61+M85</f>
        <v>5563460.7881501503</v>
      </c>
      <c r="N115" s="572">
        <f>+N6+N39+N61+N85</f>
        <v>1327389.4342897993</v>
      </c>
    </row>
    <row r="116" spans="2:14" ht="15" thickTop="1">
      <c r="B116"/>
      <c r="C116"/>
      <c r="D116"/>
      <c r="E116"/>
      <c r="F116"/>
      <c r="G116"/>
      <c r="H116"/>
      <c r="I116" s="48"/>
      <c r="J116" s="673"/>
      <c r="K116"/>
      <c r="L116"/>
      <c r="M116"/>
      <c r="N116"/>
    </row>
  </sheetData>
  <mergeCells count="17">
    <mergeCell ref="B104:B107"/>
    <mergeCell ref="B110:B112"/>
    <mergeCell ref="B115:C115"/>
    <mergeCell ref="B92:B97"/>
    <mergeCell ref="B100:B101"/>
    <mergeCell ref="B87:B89"/>
    <mergeCell ref="B74:B81"/>
    <mergeCell ref="B63:B68"/>
    <mergeCell ref="P3:Q3"/>
    <mergeCell ref="H4:J4"/>
    <mergeCell ref="B10:B14"/>
    <mergeCell ref="B17:B19"/>
    <mergeCell ref="B56:B58"/>
    <mergeCell ref="B41:B44"/>
    <mergeCell ref="B47:B48"/>
    <mergeCell ref="B22:B36"/>
    <mergeCell ref="B51:B53"/>
  </mergeCells>
  <hyperlinks>
    <hyperlink ref="A1" location="Contenido!A1" display="Volver al Contenido" xr:uid="{130AFE99-44EF-488B-8098-57081A67EA1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dimension ref="A1:AC24"/>
  <sheetViews>
    <sheetView showGridLines="0" workbookViewId="0">
      <selection activeCell="B22" sqref="B22:B24"/>
    </sheetView>
  </sheetViews>
  <sheetFormatPr baseColWidth="10" defaultColWidth="11.44140625" defaultRowHeight="14.4"/>
  <cols>
    <col min="1" max="1" width="23.88671875" bestFit="1" customWidth="1"/>
    <col min="2" max="2" width="23.44140625" bestFit="1" customWidth="1"/>
    <col min="3" max="29" width="6.88671875" customWidth="1"/>
  </cols>
  <sheetData>
    <row r="1" spans="1:29" ht="15.6">
      <c r="A1" s="559" t="s">
        <v>37</v>
      </c>
      <c r="B1" s="559"/>
    </row>
    <row r="4" spans="1:29">
      <c r="A4" s="588"/>
      <c r="B4" s="595"/>
      <c r="C4" s="711">
        <v>2023</v>
      </c>
      <c r="D4" s="711">
        <v>2024</v>
      </c>
      <c r="E4" s="711">
        <v>2025</v>
      </c>
      <c r="F4" s="711">
        <v>2026</v>
      </c>
      <c r="G4" s="711">
        <v>2027</v>
      </c>
      <c r="H4" s="711">
        <v>2028</v>
      </c>
      <c r="I4" s="711">
        <v>2029</v>
      </c>
      <c r="J4" s="711">
        <v>2030</v>
      </c>
      <c r="K4" s="711">
        <v>2031</v>
      </c>
      <c r="L4" s="711">
        <v>2032</v>
      </c>
      <c r="M4" s="711">
        <v>2033</v>
      </c>
      <c r="N4" s="711">
        <v>2034</v>
      </c>
      <c r="O4" s="711">
        <v>2035</v>
      </c>
      <c r="P4" s="711" t="s">
        <v>625</v>
      </c>
      <c r="Q4" s="711">
        <v>2041</v>
      </c>
      <c r="R4" s="711">
        <v>2042</v>
      </c>
      <c r="S4" s="711" t="s">
        <v>625</v>
      </c>
      <c r="T4" s="711">
        <v>2047</v>
      </c>
      <c r="U4" s="711">
        <v>2048</v>
      </c>
      <c r="V4" s="711">
        <v>2049</v>
      </c>
      <c r="W4" s="711">
        <v>2050</v>
      </c>
      <c r="X4" s="711">
        <v>2051</v>
      </c>
      <c r="Y4" s="712">
        <v>2052</v>
      </c>
      <c r="Z4" s="712">
        <v>2053</v>
      </c>
      <c r="AA4" s="712">
        <v>2054</v>
      </c>
      <c r="AB4" s="712">
        <v>2055</v>
      </c>
      <c r="AC4" s="712">
        <v>2056</v>
      </c>
    </row>
    <row r="5" spans="1:29">
      <c r="A5" s="589" t="s">
        <v>626</v>
      </c>
      <c r="B5" s="590" t="s">
        <v>627</v>
      </c>
      <c r="C5" s="649">
        <v>153.79117230099521</v>
      </c>
      <c r="D5" s="649">
        <v>114.31955123630675</v>
      </c>
      <c r="E5" s="649">
        <v>96.103610528526488</v>
      </c>
      <c r="F5" s="649">
        <v>89.294745400472451</v>
      </c>
      <c r="G5" s="649">
        <v>82.398046291933071</v>
      </c>
      <c r="H5" s="649">
        <v>71.54724033828812</v>
      </c>
      <c r="I5" s="649">
        <v>65.131858154483766</v>
      </c>
      <c r="J5" s="649">
        <v>58.558160301571412</v>
      </c>
      <c r="K5" s="649">
        <v>53.227545684547422</v>
      </c>
      <c r="L5" s="649">
        <v>41.622368833958198</v>
      </c>
      <c r="M5" s="649">
        <v>31.159074640412456</v>
      </c>
      <c r="N5" s="649">
        <v>20.981037590718753</v>
      </c>
      <c r="O5" s="649">
        <v>16.733572740103252</v>
      </c>
      <c r="P5" s="649">
        <v>70.051911392830291</v>
      </c>
      <c r="Q5" s="649">
        <v>10.049459983998407</v>
      </c>
      <c r="R5" s="649">
        <v>6.422715243745392</v>
      </c>
      <c r="S5" s="649">
        <v>11.851146399132192</v>
      </c>
      <c r="T5" s="649">
        <v>2.4066701052739838</v>
      </c>
      <c r="U5" s="649">
        <v>54.675867195992453</v>
      </c>
      <c r="V5" s="649">
        <v>52.497476914033541</v>
      </c>
      <c r="W5" s="591">
        <v>0</v>
      </c>
      <c r="X5" s="591">
        <v>0</v>
      </c>
      <c r="Y5" s="591">
        <v>0</v>
      </c>
      <c r="Z5" s="591">
        <v>0</v>
      </c>
      <c r="AA5" s="591">
        <v>0</v>
      </c>
      <c r="AB5" s="591">
        <v>0</v>
      </c>
      <c r="AC5" s="591">
        <v>0</v>
      </c>
    </row>
    <row r="6" spans="1:29">
      <c r="A6" s="589"/>
      <c r="B6" s="590" t="s">
        <v>628</v>
      </c>
      <c r="C6" s="649">
        <v>644.58186464171524</v>
      </c>
      <c r="D6" s="649">
        <v>479.14524870570773</v>
      </c>
      <c r="E6" s="649">
        <v>402.79714073600246</v>
      </c>
      <c r="F6" s="649">
        <v>374.25928050209217</v>
      </c>
      <c r="G6" s="649">
        <v>345.35328346245325</v>
      </c>
      <c r="H6" s="649">
        <v>299.87451748506021</v>
      </c>
      <c r="I6" s="649">
        <v>272.98585444572467</v>
      </c>
      <c r="J6" s="649">
        <v>245.43364610877023</v>
      </c>
      <c r="K6" s="649">
        <v>223.0915476767299</v>
      </c>
      <c r="L6" s="649">
        <v>174.45100204639229</v>
      </c>
      <c r="M6" s="649">
        <v>130.59640635886791</v>
      </c>
      <c r="N6" s="649">
        <v>87.937403233227684</v>
      </c>
      <c r="O6" s="649">
        <v>70.135088754139957</v>
      </c>
      <c r="P6" s="649">
        <v>293.60717518254171</v>
      </c>
      <c r="Q6" s="649">
        <v>42.12010064173284</v>
      </c>
      <c r="R6" s="649">
        <v>26.919397946805184</v>
      </c>
      <c r="S6" s="649">
        <v>49.671472879754774</v>
      </c>
      <c r="T6" s="649">
        <v>10.087028278832742</v>
      </c>
      <c r="U6" s="649">
        <v>253.00000000000003</v>
      </c>
      <c r="V6" s="649">
        <v>242.92</v>
      </c>
      <c r="W6" s="591">
        <v>0</v>
      </c>
      <c r="X6" s="591">
        <v>0</v>
      </c>
      <c r="Y6" s="591">
        <v>0</v>
      </c>
      <c r="Z6" s="591">
        <v>0</v>
      </c>
      <c r="AA6" s="591">
        <v>0</v>
      </c>
      <c r="AB6" s="591">
        <v>0</v>
      </c>
      <c r="AC6" s="591">
        <v>0</v>
      </c>
    </row>
    <row r="7" spans="1:29">
      <c r="C7" s="36"/>
      <c r="D7" s="36"/>
      <c r="E7" s="36"/>
      <c r="F7" s="36"/>
      <c r="G7" s="36"/>
      <c r="H7" s="36"/>
      <c r="I7" s="36"/>
      <c r="J7" s="36"/>
      <c r="K7" s="36"/>
      <c r="L7" s="36"/>
      <c r="M7" s="36"/>
      <c r="N7" s="36"/>
      <c r="O7" s="36"/>
      <c r="P7" s="36"/>
      <c r="Q7" s="36"/>
      <c r="R7" s="36"/>
      <c r="S7" s="36"/>
      <c r="T7" s="36"/>
      <c r="U7" s="36"/>
      <c r="V7" s="36"/>
      <c r="W7" s="36"/>
    </row>
    <row r="8" spans="1:29">
      <c r="A8" s="589" t="s">
        <v>629</v>
      </c>
      <c r="B8" s="590" t="s">
        <v>627</v>
      </c>
      <c r="C8" s="649">
        <v>76.035426937977519</v>
      </c>
      <c r="D8" s="649">
        <v>73.451522212982937</v>
      </c>
      <c r="E8" s="649">
        <v>59.074456373987609</v>
      </c>
      <c r="F8" s="649">
        <v>69.334259490054009</v>
      </c>
      <c r="G8" s="649">
        <v>63.765792474039621</v>
      </c>
      <c r="H8" s="649">
        <v>62.265853799567964</v>
      </c>
      <c r="I8" s="649">
        <v>60.769498373524897</v>
      </c>
      <c r="J8" s="649">
        <v>57.705537754374731</v>
      </c>
      <c r="K8" s="649">
        <v>48.951466846866666</v>
      </c>
      <c r="L8" s="649">
        <v>40.704200222599994</v>
      </c>
      <c r="M8" s="649">
        <v>33.833333333333329</v>
      </c>
      <c r="N8" s="649">
        <v>27.566666666666666</v>
      </c>
      <c r="O8" s="649">
        <v>21.125</v>
      </c>
      <c r="P8" s="649">
        <v>24.375</v>
      </c>
      <c r="Q8" s="591">
        <v>0</v>
      </c>
      <c r="R8" s="591">
        <v>0</v>
      </c>
      <c r="S8" s="591">
        <v>0</v>
      </c>
      <c r="T8" s="591">
        <v>0</v>
      </c>
      <c r="U8" s="591">
        <v>0</v>
      </c>
      <c r="V8" s="591">
        <v>0</v>
      </c>
      <c r="W8" s="591">
        <v>0</v>
      </c>
      <c r="X8" s="591">
        <v>0</v>
      </c>
      <c r="Y8" s="591">
        <v>0</v>
      </c>
      <c r="Z8" s="591">
        <v>0</v>
      </c>
      <c r="AA8" s="591">
        <v>0</v>
      </c>
      <c r="AB8" s="591">
        <v>0</v>
      </c>
      <c r="AC8" s="591">
        <v>0</v>
      </c>
    </row>
    <row r="9" spans="1:29">
      <c r="A9" s="589"/>
      <c r="B9" s="590" t="s">
        <v>628</v>
      </c>
      <c r="C9" s="649">
        <v>318.6857642166064</v>
      </c>
      <c r="D9" s="649">
        <v>307.85589602083115</v>
      </c>
      <c r="E9" s="649">
        <v>247.59758751116675</v>
      </c>
      <c r="F9" s="649">
        <v>290.59929511547358</v>
      </c>
      <c r="G9" s="649">
        <v>267.26029068059279</v>
      </c>
      <c r="H9" s="649">
        <v>260.97362771305319</v>
      </c>
      <c r="I9" s="649">
        <v>254.70198314298742</v>
      </c>
      <c r="J9" s="649">
        <v>241.86006627915569</v>
      </c>
      <c r="K9" s="649">
        <v>205.16930396593531</v>
      </c>
      <c r="L9" s="649">
        <v>170.60270030897888</v>
      </c>
      <c r="M9" s="649">
        <v>141.80497333333329</v>
      </c>
      <c r="N9" s="649">
        <v>115.53961866666666</v>
      </c>
      <c r="O9" s="649">
        <v>88.540789999999987</v>
      </c>
      <c r="P9" s="649">
        <v>102.16244999999999</v>
      </c>
      <c r="Q9" s="591">
        <v>0</v>
      </c>
      <c r="R9" s="591">
        <v>0</v>
      </c>
      <c r="S9" s="591">
        <v>0</v>
      </c>
      <c r="T9" s="591">
        <v>0</v>
      </c>
      <c r="U9" s="591">
        <v>0</v>
      </c>
      <c r="V9" s="591">
        <v>0</v>
      </c>
      <c r="W9" s="591">
        <v>0</v>
      </c>
      <c r="X9" s="591">
        <v>0</v>
      </c>
      <c r="Y9" s="591">
        <v>0</v>
      </c>
      <c r="Z9" s="591">
        <v>0</v>
      </c>
      <c r="AA9" s="591">
        <v>0</v>
      </c>
      <c r="AB9" s="591">
        <v>0</v>
      </c>
      <c r="AC9" s="591">
        <v>0</v>
      </c>
    </row>
    <row r="10" spans="1:29">
      <c r="C10" s="36"/>
      <c r="D10" s="36"/>
      <c r="E10" s="36"/>
      <c r="F10" s="36"/>
      <c r="G10" s="36"/>
      <c r="H10" s="36"/>
      <c r="I10" s="36"/>
      <c r="J10" s="36"/>
      <c r="K10" s="36"/>
      <c r="L10" s="36"/>
      <c r="M10" s="36"/>
      <c r="N10" s="36"/>
      <c r="O10" s="36"/>
      <c r="P10" s="36"/>
      <c r="Q10" s="36"/>
      <c r="R10" s="36"/>
      <c r="S10" s="36"/>
      <c r="T10" s="36"/>
      <c r="U10" s="36"/>
      <c r="V10" s="36"/>
      <c r="W10" s="36"/>
    </row>
    <row r="11" spans="1:29">
      <c r="A11" s="589" t="s">
        <v>630</v>
      </c>
      <c r="B11" s="590" t="s">
        <v>627</v>
      </c>
      <c r="C11" s="649">
        <v>142.52348853944909</v>
      </c>
      <c r="D11" s="649">
        <v>198.25221174178009</v>
      </c>
      <c r="E11" s="649">
        <v>96.336159548639756</v>
      </c>
      <c r="F11" s="649">
        <v>83.20977544444662</v>
      </c>
      <c r="G11" s="649">
        <v>73.08516429553174</v>
      </c>
      <c r="H11" s="649">
        <v>59.677298997905055</v>
      </c>
      <c r="I11" s="649">
        <v>46.239749075199072</v>
      </c>
      <c r="J11" s="649">
        <v>40.288555371302337</v>
      </c>
      <c r="K11" s="649">
        <v>38.66424624723448</v>
      </c>
      <c r="L11" s="649">
        <v>23.026111659456454</v>
      </c>
      <c r="M11" s="649">
        <v>21.15646007538238</v>
      </c>
      <c r="N11" s="649">
        <v>20.058169872299352</v>
      </c>
      <c r="O11" s="649">
        <v>18.970833352953029</v>
      </c>
      <c r="P11" s="649">
        <v>69.476849614280553</v>
      </c>
      <c r="Q11" s="649">
        <v>7.8182043617420289</v>
      </c>
      <c r="R11" s="649">
        <v>6.8306947666938163</v>
      </c>
      <c r="S11" s="649">
        <v>9.6743779340433917</v>
      </c>
      <c r="T11" s="591">
        <v>0</v>
      </c>
      <c r="U11" s="591">
        <v>0</v>
      </c>
      <c r="V11" s="591">
        <v>0</v>
      </c>
      <c r="W11" s="591">
        <v>0</v>
      </c>
      <c r="X11" s="591">
        <v>0</v>
      </c>
      <c r="Y11" s="591">
        <v>0</v>
      </c>
      <c r="Z11" s="591">
        <v>0</v>
      </c>
      <c r="AA11" s="591">
        <v>0</v>
      </c>
      <c r="AB11" s="591">
        <v>0</v>
      </c>
      <c r="AC11" s="591">
        <v>0</v>
      </c>
    </row>
    <row r="12" spans="1:29">
      <c r="A12" s="589"/>
      <c r="B12" s="590" t="s">
        <v>628</v>
      </c>
      <c r="C12" s="649">
        <v>597.35584704562223</v>
      </c>
      <c r="D12" s="649">
        <v>830.930530029088</v>
      </c>
      <c r="E12" s="649">
        <v>403.77181879302282</v>
      </c>
      <c r="F12" s="649">
        <v>348.75546762480025</v>
      </c>
      <c r="G12" s="649">
        <v>306.32038740857627</v>
      </c>
      <c r="H12" s="649">
        <v>250.12426974393949</v>
      </c>
      <c r="I12" s="649">
        <v>193.80373550390036</v>
      </c>
      <c r="J12" s="649">
        <v>168.86061635663205</v>
      </c>
      <c r="K12" s="649">
        <v>162.05268201110894</v>
      </c>
      <c r="L12" s="649">
        <v>96.508881276046637</v>
      </c>
      <c r="M12" s="649">
        <v>88.672647984748664</v>
      </c>
      <c r="N12" s="649">
        <v>84.069406222370816</v>
      </c>
      <c r="O12" s="649">
        <v>79.512074415564967</v>
      </c>
      <c r="P12" s="649">
        <v>291.19693025134177</v>
      </c>
      <c r="Q12" s="649">
        <v>32.768283577282126</v>
      </c>
      <c r="R12" s="649">
        <v>28.629354361748458</v>
      </c>
      <c r="S12" s="649">
        <v>40.548026747397387</v>
      </c>
      <c r="T12" s="591">
        <v>0</v>
      </c>
      <c r="U12" s="591">
        <v>0</v>
      </c>
      <c r="V12" s="591">
        <v>0</v>
      </c>
      <c r="W12" s="591">
        <v>0</v>
      </c>
      <c r="X12" s="591">
        <v>0</v>
      </c>
      <c r="Y12" s="591">
        <v>0</v>
      </c>
      <c r="Z12" s="591">
        <v>0</v>
      </c>
      <c r="AA12" s="591">
        <v>0</v>
      </c>
      <c r="AB12" s="591">
        <v>0</v>
      </c>
      <c r="AC12" s="591">
        <v>0</v>
      </c>
    </row>
    <row r="14" spans="1:29">
      <c r="A14" s="589" t="s">
        <v>631</v>
      </c>
      <c r="B14" s="590" t="s">
        <v>627</v>
      </c>
      <c r="C14" s="591">
        <v>122.77532530020024</v>
      </c>
      <c r="D14" s="591">
        <v>93.306740529296775</v>
      </c>
      <c r="E14" s="591">
        <v>83.187768702760181</v>
      </c>
      <c r="F14" s="591">
        <v>81.676518069977035</v>
      </c>
      <c r="G14" s="591">
        <v>77.585649349566879</v>
      </c>
      <c r="H14" s="591">
        <v>73.295713016976933</v>
      </c>
      <c r="I14" s="591">
        <v>68.915256782967177</v>
      </c>
      <c r="J14" s="591">
        <v>64.607945398679547</v>
      </c>
      <c r="K14" s="591">
        <v>60.811911265015624</v>
      </c>
      <c r="L14" s="591">
        <v>60.615806927289384</v>
      </c>
      <c r="M14" s="591">
        <v>60.336652271473604</v>
      </c>
      <c r="N14" s="591">
        <v>59.918565445801022</v>
      </c>
      <c r="O14" s="591">
        <v>59.32187949177883</v>
      </c>
      <c r="P14" s="591">
        <v>280.96655717690959</v>
      </c>
      <c r="Q14" s="591">
        <v>50.651730300761841</v>
      </c>
      <c r="R14" s="591">
        <v>47.588560532067731</v>
      </c>
      <c r="S14" s="591">
        <v>154.04294323601209</v>
      </c>
      <c r="T14" s="591">
        <v>28.694854787330843</v>
      </c>
      <c r="U14" s="591">
        <v>24.341135223848536</v>
      </c>
      <c r="V14" s="591">
        <v>20.336028099592625</v>
      </c>
      <c r="W14" s="591">
        <v>15.922209993333405</v>
      </c>
      <c r="X14" s="591">
        <v>11.2518045</v>
      </c>
      <c r="Y14" s="591">
        <v>6.9125670000000001</v>
      </c>
      <c r="Z14" s="591">
        <v>3.3781049999999997</v>
      </c>
      <c r="AA14" s="591">
        <v>1.43964</v>
      </c>
      <c r="AB14" s="591">
        <v>0.59372999999999998</v>
      </c>
      <c r="AC14" s="591">
        <v>0.19791</v>
      </c>
    </row>
    <row r="15" spans="1:29">
      <c r="A15" s="589"/>
      <c r="B15" s="590" t="s">
        <v>628</v>
      </c>
      <c r="C15" s="591">
        <v>514.58576542422315</v>
      </c>
      <c r="D15" s="591">
        <v>391.07467544563099</v>
      </c>
      <c r="E15" s="591">
        <v>348.66323120850467</v>
      </c>
      <c r="F15" s="591">
        <v>342.32915665633328</v>
      </c>
      <c r="G15" s="591">
        <v>325.18318040585268</v>
      </c>
      <c r="H15" s="591">
        <v>307.20285605379507</v>
      </c>
      <c r="I15" s="591">
        <v>288.84313744931467</v>
      </c>
      <c r="J15" s="591">
        <v>270.7899893905776</v>
      </c>
      <c r="K15" s="591">
        <v>254.87974744683467</v>
      </c>
      <c r="L15" s="591">
        <v>254.05781925820943</v>
      </c>
      <c r="M15" s="591">
        <v>252.88780393238187</v>
      </c>
      <c r="N15" s="591">
        <v>251.13548498167688</v>
      </c>
      <c r="O15" s="591">
        <v>248.63460707630276</v>
      </c>
      <c r="P15" s="591">
        <v>1177.6095117644377</v>
      </c>
      <c r="Q15" s="591">
        <v>212.29558417497705</v>
      </c>
      <c r="R15" s="591">
        <v>199.45698198684482</v>
      </c>
      <c r="S15" s="591">
        <v>645.63710712623265</v>
      </c>
      <c r="T15" s="591">
        <v>120.26817097304401</v>
      </c>
      <c r="U15" s="591">
        <v>102.02051324101188</v>
      </c>
      <c r="V15" s="591">
        <v>85.233987853260572</v>
      </c>
      <c r="W15" s="591">
        <v>66.734440300858438</v>
      </c>
      <c r="X15" s="591">
        <v>47.159463164759998</v>
      </c>
      <c r="Y15" s="591">
        <v>28.97250381576</v>
      </c>
      <c r="Z15" s="591">
        <v>14.158583924399998</v>
      </c>
      <c r="AA15" s="591">
        <v>6.0339343392</v>
      </c>
      <c r="AB15" s="591">
        <v>2.4884886743999997</v>
      </c>
      <c r="AC15" s="591">
        <v>0.82949622479999996</v>
      </c>
    </row>
    <row r="17" spans="1:29" s="594" customFormat="1">
      <c r="A17" s="592" t="s">
        <v>383</v>
      </c>
      <c r="B17" s="593" t="s">
        <v>632</v>
      </c>
      <c r="C17" s="596">
        <f t="shared" ref="C17:Y17" si="0">+C5+C8+C11+C14</f>
        <v>495.12541307862205</v>
      </c>
      <c r="D17" s="596">
        <f t="shared" si="0"/>
        <v>479.33002572036662</v>
      </c>
      <c r="E17" s="596">
        <f t="shared" si="0"/>
        <v>334.70199515391403</v>
      </c>
      <c r="F17" s="596">
        <f t="shared" si="0"/>
        <v>323.5152984049501</v>
      </c>
      <c r="G17" s="596">
        <f t="shared" si="0"/>
        <v>296.83465241107132</v>
      </c>
      <c r="H17" s="596">
        <f t="shared" si="0"/>
        <v>266.78610615273806</v>
      </c>
      <c r="I17" s="596">
        <f t="shared" si="0"/>
        <v>241.0563623861749</v>
      </c>
      <c r="J17" s="596">
        <f t="shared" si="0"/>
        <v>221.16019882592803</v>
      </c>
      <c r="K17" s="596">
        <f t="shared" si="0"/>
        <v>201.65517004366419</v>
      </c>
      <c r="L17" s="596">
        <f t="shared" si="0"/>
        <v>165.96848764330403</v>
      </c>
      <c r="M17" s="596">
        <f t="shared" si="0"/>
        <v>146.48552032060178</v>
      </c>
      <c r="N17" s="596">
        <f t="shared" si="0"/>
        <v>128.52443957548579</v>
      </c>
      <c r="O17" s="596">
        <f t="shared" si="0"/>
        <v>116.15128558483511</v>
      </c>
      <c r="P17" s="596">
        <f t="shared" si="0"/>
        <v>444.87031818402045</v>
      </c>
      <c r="Q17" s="596">
        <f t="shared" si="0"/>
        <v>68.519394646502278</v>
      </c>
      <c r="R17" s="596">
        <f t="shared" si="0"/>
        <v>60.841970542506942</v>
      </c>
      <c r="S17" s="596">
        <f t="shared" si="0"/>
        <v>175.56846756918767</v>
      </c>
      <c r="T17" s="596">
        <f t="shared" si="0"/>
        <v>31.101524892604829</v>
      </c>
      <c r="U17" s="596">
        <f t="shared" si="0"/>
        <v>79.017002419840992</v>
      </c>
      <c r="V17" s="596">
        <f t="shared" si="0"/>
        <v>72.833505013626166</v>
      </c>
      <c r="W17" s="596">
        <f t="shared" si="0"/>
        <v>15.922209993333405</v>
      </c>
      <c r="X17" s="596">
        <f t="shared" si="0"/>
        <v>11.2518045</v>
      </c>
      <c r="Y17" s="596">
        <f t="shared" si="0"/>
        <v>6.9125670000000001</v>
      </c>
      <c r="Z17" s="596">
        <f t="shared" ref="Z17:AC17" si="1">+Z5+Z8+Z11+Z14</f>
        <v>3.3781049999999997</v>
      </c>
      <c r="AA17" s="596">
        <f t="shared" si="1"/>
        <v>1.43964</v>
      </c>
      <c r="AB17" s="596">
        <f t="shared" si="1"/>
        <v>0.59372999999999998</v>
      </c>
      <c r="AC17" s="596">
        <f t="shared" si="1"/>
        <v>0.19791</v>
      </c>
    </row>
    <row r="18" spans="1:29" s="594" customFormat="1">
      <c r="A18" s="592"/>
      <c r="B18" s="593" t="s">
        <v>633</v>
      </c>
      <c r="C18" s="596">
        <f t="shared" ref="C18:Y18" si="2">+C6+C9+C12+C15</f>
        <v>2075.2092413281671</v>
      </c>
      <c r="D18" s="596">
        <f t="shared" si="2"/>
        <v>2009.0063502012576</v>
      </c>
      <c r="E18" s="596">
        <f t="shared" si="2"/>
        <v>1402.8297782486968</v>
      </c>
      <c r="F18" s="596">
        <f t="shared" si="2"/>
        <v>1355.9431998986993</v>
      </c>
      <c r="G18" s="596">
        <f t="shared" si="2"/>
        <v>1244.1171419574748</v>
      </c>
      <c r="H18" s="596">
        <f t="shared" si="2"/>
        <v>1118.175270995848</v>
      </c>
      <c r="I18" s="596">
        <f t="shared" si="2"/>
        <v>1010.3347105419272</v>
      </c>
      <c r="J18" s="596">
        <f t="shared" si="2"/>
        <v>926.94431813513552</v>
      </c>
      <c r="K18" s="596">
        <f t="shared" si="2"/>
        <v>845.19328110060883</v>
      </c>
      <c r="L18" s="596">
        <f t="shared" si="2"/>
        <v>695.62040288962726</v>
      </c>
      <c r="M18" s="596">
        <f t="shared" si="2"/>
        <v>613.96183160933174</v>
      </c>
      <c r="N18" s="596">
        <f t="shared" si="2"/>
        <v>538.68191310394207</v>
      </c>
      <c r="O18" s="596">
        <f t="shared" si="2"/>
        <v>486.8225602460077</v>
      </c>
      <c r="P18" s="596">
        <f t="shared" si="2"/>
        <v>1864.5760671983212</v>
      </c>
      <c r="Q18" s="596">
        <f t="shared" si="2"/>
        <v>287.18396839399202</v>
      </c>
      <c r="R18" s="596">
        <f t="shared" si="2"/>
        <v>255.00573429539847</v>
      </c>
      <c r="S18" s="596">
        <f t="shared" si="2"/>
        <v>735.85660675338477</v>
      </c>
      <c r="T18" s="596">
        <f t="shared" si="2"/>
        <v>130.35519925187674</v>
      </c>
      <c r="U18" s="596">
        <f t="shared" si="2"/>
        <v>355.02051324101194</v>
      </c>
      <c r="V18" s="596">
        <f t="shared" si="2"/>
        <v>328.15398785326056</v>
      </c>
      <c r="W18" s="596">
        <f t="shared" si="2"/>
        <v>66.734440300858438</v>
      </c>
      <c r="X18" s="596">
        <f t="shared" si="2"/>
        <v>47.159463164759998</v>
      </c>
      <c r="Y18" s="596">
        <f t="shared" si="2"/>
        <v>28.97250381576</v>
      </c>
      <c r="Z18" s="596">
        <f t="shared" ref="Z18:AC18" si="3">+Z6+Z9+Z12+Z15</f>
        <v>14.158583924399998</v>
      </c>
      <c r="AA18" s="596">
        <f t="shared" si="3"/>
        <v>6.0339343392</v>
      </c>
      <c r="AB18" s="596">
        <f t="shared" si="3"/>
        <v>2.4884886743999997</v>
      </c>
      <c r="AC18" s="596">
        <f t="shared" si="3"/>
        <v>0.82949622479999996</v>
      </c>
    </row>
    <row r="19" spans="1:29">
      <c r="C19" s="555"/>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row>
    <row r="20" spans="1:29" ht="15.6">
      <c r="A20" s="600" t="s">
        <v>634</v>
      </c>
      <c r="C20" s="555"/>
      <c r="D20" s="555"/>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row>
    <row r="21" spans="1:29" ht="11.1" customHeight="1">
      <c r="A21" s="594"/>
      <c r="C21" s="555"/>
      <c r="D21" s="555"/>
      <c r="E21" s="555"/>
      <c r="F21" s="555"/>
      <c r="G21" s="555"/>
      <c r="H21" s="555"/>
      <c r="I21" s="555"/>
      <c r="J21" s="555"/>
      <c r="K21" s="555"/>
      <c r="L21" s="555"/>
      <c r="M21" s="555"/>
      <c r="N21" s="555"/>
      <c r="O21" s="555"/>
      <c r="P21" s="555"/>
      <c r="Q21" s="555"/>
      <c r="R21" s="555"/>
      <c r="S21" s="555"/>
      <c r="T21" s="555"/>
      <c r="U21" s="555"/>
      <c r="V21" s="555"/>
      <c r="W21" s="555"/>
      <c r="X21" s="555"/>
      <c r="Y21" s="555"/>
      <c r="Z21" s="555"/>
      <c r="AA21" s="555"/>
      <c r="AB21" s="555"/>
      <c r="AC21" s="555"/>
    </row>
    <row r="22" spans="1:29">
      <c r="A22" s="589" t="s">
        <v>635</v>
      </c>
      <c r="B22" s="623">
        <v>0.75982706192380156</v>
      </c>
    </row>
    <row r="23" spans="1:29">
      <c r="A23" s="589" t="s">
        <v>636</v>
      </c>
      <c r="B23" s="623">
        <v>0.22827874344243446</v>
      </c>
    </row>
    <row r="24" spans="1:29">
      <c r="A24" s="589" t="s">
        <v>637</v>
      </c>
      <c r="B24" s="623">
        <v>1.1894194633763892E-2</v>
      </c>
    </row>
  </sheetData>
  <hyperlinks>
    <hyperlink ref="A1" location="Contenido!A1" display="Volver al Contenido" xr:uid="{CFA14EF1-5212-4D9E-A04C-04C7D53EC2F8}"/>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47"/>
  <sheetViews>
    <sheetView showGridLines="0" zoomScale="90" zoomScaleNormal="90" workbookViewId="0">
      <pane xSplit="1" ySplit="6" topLeftCell="B7" activePane="bottomRight" state="frozen"/>
      <selection pane="topRight" activeCell="B1" sqref="B1"/>
      <selection pane="bottomLeft" activeCell="A5" sqref="A5"/>
      <selection pane="bottomRight" activeCell="G16" sqref="G16"/>
    </sheetView>
  </sheetViews>
  <sheetFormatPr baseColWidth="10" defaultColWidth="11.44140625" defaultRowHeight="15.6"/>
  <cols>
    <col min="1" max="1" width="7.44140625" style="67" customWidth="1"/>
    <col min="2" max="2" width="39.109375" style="67" customWidth="1"/>
    <col min="3" max="8" width="16.33203125" style="67" bestFit="1" customWidth="1"/>
    <col min="9" max="9" width="20" style="67" customWidth="1"/>
    <col min="10" max="11" width="13.88671875" style="67" customWidth="1"/>
    <col min="12" max="12" width="14.88671875" style="67" customWidth="1"/>
    <col min="13" max="16384" width="11.44140625" style="67"/>
  </cols>
  <sheetData>
    <row r="1" spans="1:12">
      <c r="A1" s="559" t="s">
        <v>37</v>
      </c>
    </row>
    <row r="2" spans="1:12">
      <c r="A2" s="559"/>
    </row>
    <row r="3" spans="1:12">
      <c r="A3" s="559"/>
    </row>
    <row r="4" spans="1:12">
      <c r="B4" s="132"/>
      <c r="C4" s="132"/>
      <c r="D4" s="132"/>
      <c r="E4" s="132"/>
      <c r="F4" s="132"/>
      <c r="G4" s="132"/>
      <c r="H4" s="132"/>
      <c r="I4" s="132"/>
    </row>
    <row r="5" spans="1:12">
      <c r="B5" s="560" t="s">
        <v>638</v>
      </c>
      <c r="C5" s="210"/>
      <c r="D5" s="210"/>
      <c r="E5" s="210"/>
      <c r="F5" s="210"/>
      <c r="G5" s="210"/>
      <c r="H5" s="210"/>
      <c r="I5" s="210"/>
      <c r="J5" s="561"/>
      <c r="K5" s="561"/>
      <c r="L5" s="561"/>
    </row>
    <row r="6" spans="1:12" ht="30">
      <c r="B6" s="562" t="s">
        <v>639</v>
      </c>
      <c r="C6" s="625">
        <v>2023</v>
      </c>
      <c r="D6" s="625">
        <v>2024</v>
      </c>
      <c r="E6" s="625">
        <v>2025</v>
      </c>
      <c r="F6" s="625">
        <v>2026</v>
      </c>
      <c r="G6" s="625">
        <v>2027</v>
      </c>
      <c r="H6" s="625">
        <v>2028</v>
      </c>
      <c r="I6" s="626" t="s">
        <v>1195</v>
      </c>
      <c r="J6" s="561"/>
      <c r="K6" s="561"/>
      <c r="L6" s="561"/>
    </row>
    <row r="7" spans="1:12" ht="6.6" customHeight="1">
      <c r="B7" s="563"/>
      <c r="C7" s="563"/>
      <c r="D7" s="563"/>
      <c r="E7" s="563"/>
      <c r="F7" s="563"/>
      <c r="G7" s="563"/>
      <c r="H7" s="563"/>
      <c r="I7" s="563"/>
      <c r="J7" s="561"/>
      <c r="K7" s="561"/>
      <c r="L7" s="561"/>
    </row>
    <row r="8" spans="1:12" ht="15" customHeight="1">
      <c r="A8" s="564"/>
      <c r="B8" s="562" t="s">
        <v>626</v>
      </c>
      <c r="C8" s="187"/>
      <c r="D8" s="187"/>
      <c r="E8" s="187"/>
      <c r="F8" s="187"/>
      <c r="G8" s="187"/>
      <c r="H8" s="187"/>
      <c r="I8" s="187"/>
      <c r="J8" s="561"/>
      <c r="K8" s="561"/>
      <c r="L8" s="561"/>
    </row>
    <row r="9" spans="1:12" ht="15" customHeight="1">
      <c r="B9" s="211" t="s">
        <v>14</v>
      </c>
      <c r="C9" s="212">
        <v>1039639.0245479774</v>
      </c>
      <c r="D9" s="212">
        <v>811588.94596443826</v>
      </c>
      <c r="E9" s="212">
        <v>182493.67848674257</v>
      </c>
      <c r="F9" s="212">
        <v>134825.82445850899</v>
      </c>
      <c r="G9" s="212">
        <v>110923.26061975543</v>
      </c>
      <c r="H9" s="212">
        <v>185255.30599518956</v>
      </c>
      <c r="I9" s="212">
        <f>+SUM(C9:H9)</f>
        <v>2464726.040072612</v>
      </c>
    </row>
    <row r="10" spans="1:12" ht="15" customHeight="1">
      <c r="B10" s="211" t="s">
        <v>1166</v>
      </c>
      <c r="C10" s="212">
        <v>35523.207650736709</v>
      </c>
      <c r="D10" s="212">
        <v>30460.970795000001</v>
      </c>
      <c r="E10" s="212">
        <v>13294.496619508624</v>
      </c>
      <c r="F10" s="212">
        <v>54364.285800000005</v>
      </c>
      <c r="G10" s="212">
        <v>0</v>
      </c>
      <c r="H10" s="212">
        <v>0</v>
      </c>
      <c r="I10" s="212">
        <f t="shared" ref="I10:I14" si="0">+SUM(C10:H10)</f>
        <v>133642.96086524535</v>
      </c>
    </row>
    <row r="11" spans="1:12" ht="15" customHeight="1">
      <c r="A11" s="564"/>
      <c r="B11" s="211" t="s">
        <v>597</v>
      </c>
      <c r="C11" s="212">
        <v>443702.15612761787</v>
      </c>
      <c r="D11" s="212">
        <v>163503.9968283184</v>
      </c>
      <c r="E11" s="212">
        <v>85878.360258354485</v>
      </c>
      <c r="F11" s="212">
        <v>22970.590083613195</v>
      </c>
      <c r="G11" s="212">
        <v>34833.541097328947</v>
      </c>
      <c r="H11" s="212">
        <v>22584.186458786451</v>
      </c>
      <c r="I11" s="212">
        <f t="shared" si="0"/>
        <v>773472.83085401938</v>
      </c>
    </row>
    <row r="12" spans="1:12" ht="15" customHeight="1">
      <c r="B12" s="211" t="s">
        <v>640</v>
      </c>
      <c r="C12" s="212">
        <v>197346.24362083001</v>
      </c>
      <c r="D12" s="212">
        <v>206226.82458386142</v>
      </c>
      <c r="E12" s="212">
        <v>213444.76344429652</v>
      </c>
      <c r="F12" s="212">
        <v>220915.33016484691</v>
      </c>
      <c r="G12" s="212">
        <v>228647.36672061647</v>
      </c>
      <c r="H12" s="212">
        <v>236192.72982239685</v>
      </c>
      <c r="I12" s="212">
        <f t="shared" si="0"/>
        <v>1302773.2583568483</v>
      </c>
    </row>
    <row r="13" spans="1:12" ht="15" customHeight="1">
      <c r="B13" s="211" t="s">
        <v>641</v>
      </c>
      <c r="C13" s="212">
        <v>2081.9161745132019</v>
      </c>
      <c r="D13" s="212">
        <v>2508.2878499643866</v>
      </c>
      <c r="E13" s="212">
        <v>2660.2117187387094</v>
      </c>
      <c r="F13" s="212">
        <v>0</v>
      </c>
      <c r="G13" s="212">
        <v>0</v>
      </c>
      <c r="H13" s="212">
        <v>0</v>
      </c>
      <c r="I13" s="212">
        <f t="shared" si="0"/>
        <v>7250.4157432162983</v>
      </c>
    </row>
    <row r="14" spans="1:12" ht="15" customHeight="1">
      <c r="A14" s="564"/>
      <c r="B14" s="211" t="s">
        <v>642</v>
      </c>
      <c r="C14" s="212">
        <v>74505.173851502637</v>
      </c>
      <c r="D14" s="212">
        <v>91908.252203990472</v>
      </c>
      <c r="E14" s="212">
        <v>64971.520477303551</v>
      </c>
      <c r="F14" s="212">
        <v>81629.053226459626</v>
      </c>
      <c r="G14" s="212">
        <v>79010.504275091138</v>
      </c>
      <c r="H14" s="212">
        <v>85135.028924323138</v>
      </c>
      <c r="I14" s="212">
        <f t="shared" si="0"/>
        <v>477159.53295867052</v>
      </c>
    </row>
    <row r="15" spans="1:12" ht="15" customHeight="1">
      <c r="B15" s="562" t="s">
        <v>643</v>
      </c>
      <c r="C15" s="566">
        <f>+SUM(C9:C14)</f>
        <v>1792797.721973178</v>
      </c>
      <c r="D15" s="566">
        <f t="shared" ref="D15:H15" si="1">+SUM(D9:D14)</f>
        <v>1306197.278225573</v>
      </c>
      <c r="E15" s="566">
        <f t="shared" si="1"/>
        <v>562743.03100494458</v>
      </c>
      <c r="F15" s="566">
        <f t="shared" si="1"/>
        <v>514705.08373342874</v>
      </c>
      <c r="G15" s="566">
        <f t="shared" si="1"/>
        <v>453414.67271279194</v>
      </c>
      <c r="H15" s="566">
        <f t="shared" si="1"/>
        <v>529167.25120069599</v>
      </c>
      <c r="I15" s="566">
        <f>+SUM(C15:H15)</f>
        <v>5159025.0388506129</v>
      </c>
    </row>
    <row r="16" spans="1:12" ht="15" customHeight="1">
      <c r="B16" s="211"/>
      <c r="C16" s="212"/>
      <c r="D16" s="212"/>
      <c r="E16" s="212"/>
      <c r="F16" s="212"/>
      <c r="G16" s="212"/>
      <c r="H16" s="212"/>
      <c r="I16" s="212"/>
    </row>
    <row r="17" spans="1:9" ht="15" customHeight="1">
      <c r="A17" s="564"/>
      <c r="B17" s="562" t="s">
        <v>629</v>
      </c>
      <c r="C17" s="187"/>
      <c r="D17" s="187"/>
      <c r="E17" s="187"/>
      <c r="F17" s="187"/>
      <c r="G17" s="187"/>
      <c r="H17" s="187"/>
      <c r="I17" s="187"/>
    </row>
    <row r="18" spans="1:9" ht="15" customHeight="1">
      <c r="B18" s="211" t="s">
        <v>644</v>
      </c>
      <c r="C18" s="212">
        <v>38955.206498542</v>
      </c>
      <c r="D18" s="212">
        <v>29513.040426815896</v>
      </c>
      <c r="E18" s="212">
        <v>33025.275004953095</v>
      </c>
      <c r="F18" s="212">
        <v>31976.476126401714</v>
      </c>
      <c r="G18" s="212">
        <v>34385.597592881299</v>
      </c>
      <c r="H18" s="212">
        <v>37013.628383032228</v>
      </c>
      <c r="I18" s="212">
        <f>+SUM(C18:H18)</f>
        <v>204869.22403262623</v>
      </c>
    </row>
    <row r="19" spans="1:9" ht="15" customHeight="1">
      <c r="B19" s="211" t="s">
        <v>601</v>
      </c>
      <c r="C19" s="212">
        <v>467801.19224384386</v>
      </c>
      <c r="D19" s="212">
        <v>203356.5476809098</v>
      </c>
      <c r="E19" s="212">
        <v>27454.750993448652</v>
      </c>
      <c r="F19" s="212">
        <v>6682.5027388387152</v>
      </c>
      <c r="G19" s="212">
        <v>10246.566580491679</v>
      </c>
      <c r="H19" s="212">
        <v>17869.263021561983</v>
      </c>
      <c r="I19" s="212">
        <f t="shared" ref="I19:I21" si="2">+SUM(C19:H19)</f>
        <v>733410.82325909473</v>
      </c>
    </row>
    <row r="20" spans="1:9" ht="15" customHeight="1">
      <c r="A20" s="564"/>
      <c r="B20" s="211" t="s">
        <v>645</v>
      </c>
      <c r="C20" s="212">
        <v>22497.604198695339</v>
      </c>
      <c r="D20" s="212">
        <v>13922.0894869</v>
      </c>
      <c r="E20" s="212">
        <v>7464.8876021200003</v>
      </c>
      <c r="F20" s="212">
        <v>12907.853618819998</v>
      </c>
      <c r="G20" s="212">
        <v>12277.411036456881</v>
      </c>
      <c r="H20" s="212">
        <v>7374.4612006261505</v>
      </c>
      <c r="I20" s="212">
        <f t="shared" si="2"/>
        <v>76444.307143618353</v>
      </c>
    </row>
    <row r="21" spans="1:9" ht="15" customHeight="1">
      <c r="B21" s="211" t="s">
        <v>21</v>
      </c>
      <c r="C21" s="212">
        <v>149138.12068153475</v>
      </c>
      <c r="D21" s="212">
        <v>98812.058023900376</v>
      </c>
      <c r="E21" s="212">
        <v>52680.270709531847</v>
      </c>
      <c r="F21" s="212">
        <v>49839.615003458894</v>
      </c>
      <c r="G21" s="212">
        <v>70543.626390150006</v>
      </c>
      <c r="H21" s="212">
        <v>55766.473012429131</v>
      </c>
      <c r="I21" s="212">
        <f t="shared" si="2"/>
        <v>476780.16382100503</v>
      </c>
    </row>
    <row r="22" spans="1:9" ht="15" customHeight="1">
      <c r="B22" s="562" t="s">
        <v>646</v>
      </c>
      <c r="C22" s="624">
        <f>+SUM(C18:C21)</f>
        <v>678392.12362261594</v>
      </c>
      <c r="D22" s="624">
        <f t="shared" ref="D22:H22" si="3">+SUM(D18:D21)</f>
        <v>345603.73561852606</v>
      </c>
      <c r="E22" s="624">
        <f t="shared" si="3"/>
        <v>120625.18431005359</v>
      </c>
      <c r="F22" s="624">
        <f t="shared" si="3"/>
        <v>101406.44748751933</v>
      </c>
      <c r="G22" s="624">
        <f t="shared" si="3"/>
        <v>127453.20159997986</v>
      </c>
      <c r="H22" s="624">
        <f t="shared" si="3"/>
        <v>118023.82561764949</v>
      </c>
      <c r="I22" s="624">
        <f>+SUM(C22:H22)</f>
        <v>1491504.5182563441</v>
      </c>
    </row>
    <row r="23" spans="1:9" ht="15" customHeight="1">
      <c r="A23" s="564"/>
      <c r="B23" s="211"/>
      <c r="C23" s="212"/>
      <c r="D23" s="212"/>
      <c r="E23" s="212"/>
      <c r="F23" s="212"/>
      <c r="G23" s="212"/>
      <c r="H23" s="212"/>
      <c r="I23" s="212"/>
    </row>
    <row r="24" spans="1:9" ht="15" customHeight="1">
      <c r="B24" s="562" t="s">
        <v>630</v>
      </c>
      <c r="C24" s="187"/>
      <c r="D24" s="187"/>
      <c r="E24" s="187"/>
      <c r="F24" s="187"/>
      <c r="G24" s="187"/>
      <c r="H24" s="187"/>
      <c r="I24" s="187"/>
    </row>
    <row r="25" spans="1:9" ht="15" customHeight="1">
      <c r="B25" s="182" t="s">
        <v>529</v>
      </c>
      <c r="C25" s="212">
        <v>1331614.9633575752</v>
      </c>
      <c r="D25" s="212">
        <v>2023088.3028067737</v>
      </c>
      <c r="E25" s="212">
        <v>2662613.698109637</v>
      </c>
      <c r="F25" s="212">
        <v>1054205.3934676014</v>
      </c>
      <c r="G25" s="212">
        <v>909971.99204294686</v>
      </c>
      <c r="H25" s="212">
        <v>830009.0825157013</v>
      </c>
      <c r="I25" s="212">
        <f t="shared" ref="I25:I28" si="4">+SUM(C25:H25)</f>
        <v>8811503.4323002342</v>
      </c>
    </row>
    <row r="26" spans="1:9" ht="15" customHeight="1">
      <c r="B26" s="182" t="s">
        <v>647</v>
      </c>
      <c r="C26" s="212">
        <v>614924.49467809673</v>
      </c>
      <c r="D26" s="212">
        <v>694473.20326409105</v>
      </c>
      <c r="E26" s="212">
        <v>473287.60857540992</v>
      </c>
      <c r="F26" s="212">
        <v>1432485.3663631883</v>
      </c>
      <c r="G26" s="212">
        <v>735447.48544829793</v>
      </c>
      <c r="H26" s="212">
        <v>216530.64702279292</v>
      </c>
      <c r="I26" s="212">
        <f t="shared" si="4"/>
        <v>4167148.8053518771</v>
      </c>
    </row>
    <row r="27" spans="1:9" ht="15" customHeight="1">
      <c r="B27" s="182" t="s">
        <v>648</v>
      </c>
      <c r="C27" s="212">
        <v>14851.563710625909</v>
      </c>
      <c r="D27" s="212">
        <v>0</v>
      </c>
      <c r="E27" s="212">
        <v>0</v>
      </c>
      <c r="F27" s="212">
        <v>0</v>
      </c>
      <c r="G27" s="212">
        <v>0</v>
      </c>
      <c r="H27" s="212">
        <v>0</v>
      </c>
      <c r="I27" s="212">
        <f t="shared" si="4"/>
        <v>14851.563710625909</v>
      </c>
    </row>
    <row r="28" spans="1:9" ht="15" customHeight="1">
      <c r="B28" s="562" t="s">
        <v>649</v>
      </c>
      <c r="C28" s="624">
        <f t="shared" ref="C28:H28" si="5">+C25+C26+C27</f>
        <v>1961391.0217462981</v>
      </c>
      <c r="D28" s="624">
        <f t="shared" si="5"/>
        <v>2717561.5060708649</v>
      </c>
      <c r="E28" s="624">
        <f t="shared" si="5"/>
        <v>3135901.3066850468</v>
      </c>
      <c r="F28" s="624">
        <f t="shared" si="5"/>
        <v>2486690.7598307896</v>
      </c>
      <c r="G28" s="624">
        <f t="shared" si="5"/>
        <v>1645419.4774912447</v>
      </c>
      <c r="H28" s="624">
        <f t="shared" si="5"/>
        <v>1046539.7295384943</v>
      </c>
      <c r="I28" s="624">
        <f t="shared" si="4"/>
        <v>12993503.801362738</v>
      </c>
    </row>
    <row r="29" spans="1:9" ht="15" customHeight="1">
      <c r="B29" s="211"/>
      <c r="C29" s="212"/>
      <c r="D29" s="212"/>
      <c r="E29" s="212"/>
      <c r="F29" s="212"/>
      <c r="G29" s="212"/>
      <c r="H29" s="212"/>
      <c r="I29" s="212"/>
    </row>
    <row r="30" spans="1:9" ht="15" customHeight="1">
      <c r="B30" s="562" t="s">
        <v>650</v>
      </c>
      <c r="C30" s="187"/>
      <c r="D30" s="187"/>
      <c r="E30" s="187"/>
      <c r="F30" s="187"/>
      <c r="G30" s="187"/>
      <c r="H30" s="187"/>
      <c r="I30" s="187"/>
    </row>
    <row r="31" spans="1:9" ht="15" customHeight="1">
      <c r="B31" s="211" t="s">
        <v>651</v>
      </c>
      <c r="C31" s="212">
        <v>2357.1678298668826</v>
      </c>
      <c r="D31" s="212">
        <v>3319.2467175860374</v>
      </c>
      <c r="E31" s="212">
        <v>409.54150718578461</v>
      </c>
      <c r="F31" s="212">
        <v>8007.4765204107052</v>
      </c>
      <c r="G31" s="212">
        <v>4775.4599955885733</v>
      </c>
      <c r="H31" s="212">
        <v>6348.0511277472424</v>
      </c>
      <c r="I31" s="212">
        <f>+SUM(C31:H31)</f>
        <v>25216.943698385225</v>
      </c>
    </row>
    <row r="32" spans="1:9" ht="15" customHeight="1">
      <c r="B32" s="211" t="s">
        <v>652</v>
      </c>
      <c r="C32" s="212">
        <v>1100.9683347</v>
      </c>
      <c r="D32" s="212">
        <v>2172.8579698071148</v>
      </c>
      <c r="E32" s="212">
        <v>2474.0956075261838</v>
      </c>
      <c r="F32" s="212">
        <v>2572.9489340194987</v>
      </c>
      <c r="G32" s="212">
        <v>2724.3741812975504</v>
      </c>
      <c r="H32" s="212">
        <v>2885.3056481462427</v>
      </c>
      <c r="I32" s="212">
        <f>+SUM(C32:H32)</f>
        <v>13930.550675496588</v>
      </c>
    </row>
    <row r="33" spans="2:9" ht="15" customHeight="1">
      <c r="B33" s="562" t="s">
        <v>383</v>
      </c>
      <c r="C33" s="624">
        <f>+C31+C32</f>
        <v>3458.1361645668826</v>
      </c>
      <c r="D33" s="624">
        <f t="shared" ref="D33:H33" si="6">+D31+D32</f>
        <v>5492.1046873931518</v>
      </c>
      <c r="E33" s="624">
        <f t="shared" si="6"/>
        <v>2883.6371147119685</v>
      </c>
      <c r="F33" s="624">
        <f t="shared" si="6"/>
        <v>10580.425454430204</v>
      </c>
      <c r="G33" s="624">
        <f t="shared" si="6"/>
        <v>7499.8341768861237</v>
      </c>
      <c r="H33" s="624">
        <f t="shared" si="6"/>
        <v>9233.3567758934842</v>
      </c>
      <c r="I33" s="624">
        <f>+SUM(C33:H33)</f>
        <v>39147.494373881811</v>
      </c>
    </row>
    <row r="34" spans="2:9" ht="15" customHeight="1">
      <c r="B34" s="567"/>
      <c r="C34" s="567"/>
      <c r="D34" s="567"/>
      <c r="E34" s="567"/>
      <c r="F34" s="567"/>
      <c r="G34" s="567"/>
      <c r="H34" s="567"/>
      <c r="I34" s="567">
        <v>0</v>
      </c>
    </row>
    <row r="35" spans="2:9" ht="15" customHeight="1">
      <c r="B35" s="562" t="s">
        <v>631</v>
      </c>
      <c r="C35" s="187"/>
      <c r="D35" s="187"/>
      <c r="E35" s="187"/>
      <c r="F35" s="187"/>
      <c r="G35" s="187"/>
      <c r="H35" s="187"/>
      <c r="I35" s="187"/>
    </row>
    <row r="36" spans="2:9" ht="15" customHeight="1">
      <c r="B36" s="565" t="s">
        <v>653</v>
      </c>
      <c r="C36" s="212">
        <v>446.89866037127518</v>
      </c>
      <c r="D36" s="212">
        <v>0</v>
      </c>
      <c r="E36" s="212">
        <v>0</v>
      </c>
      <c r="F36" s="212">
        <v>0</v>
      </c>
      <c r="G36" s="212">
        <v>0</v>
      </c>
      <c r="H36" s="212">
        <v>0</v>
      </c>
      <c r="I36" s="212">
        <f t="shared" ref="I36:I44" si="7">+SUM(C36:H36)</f>
        <v>446.89866037127518</v>
      </c>
    </row>
    <row r="37" spans="2:9" ht="15" customHeight="1">
      <c r="B37" s="565" t="s">
        <v>654</v>
      </c>
      <c r="C37" s="212">
        <v>44609.492381487988</v>
      </c>
      <c r="D37" s="212">
        <v>76367.6618245633</v>
      </c>
      <c r="E37" s="212">
        <v>88773.810659644936</v>
      </c>
      <c r="F37" s="212">
        <v>30527.631137321678</v>
      </c>
      <c r="G37" s="212">
        <v>62542.934500068433</v>
      </c>
      <c r="H37" s="212">
        <v>2177.0373586155583</v>
      </c>
      <c r="I37" s="212">
        <f t="shared" si="7"/>
        <v>304998.56786170189</v>
      </c>
    </row>
    <row r="38" spans="2:9" ht="15" customHeight="1">
      <c r="B38" s="565" t="s">
        <v>655</v>
      </c>
      <c r="C38" s="212">
        <v>3985.0888921367623</v>
      </c>
      <c r="D38" s="212">
        <v>0</v>
      </c>
      <c r="E38" s="212">
        <v>0</v>
      </c>
      <c r="F38" s="212">
        <v>0</v>
      </c>
      <c r="G38" s="212">
        <v>0</v>
      </c>
      <c r="H38" s="212">
        <v>0</v>
      </c>
      <c r="I38" s="212">
        <f t="shared" si="7"/>
        <v>3985.0888921367623</v>
      </c>
    </row>
    <row r="39" spans="2:9" ht="15" customHeight="1">
      <c r="B39" s="565" t="s">
        <v>656</v>
      </c>
      <c r="C39" s="212">
        <v>207691.72811608732</v>
      </c>
      <c r="D39" s="212">
        <v>123233.17038955216</v>
      </c>
      <c r="E39" s="212">
        <v>4606.6452095861478</v>
      </c>
      <c r="F39" s="212">
        <v>0</v>
      </c>
      <c r="G39" s="212">
        <v>0</v>
      </c>
      <c r="H39" s="212">
        <v>0</v>
      </c>
      <c r="I39" s="212">
        <f t="shared" si="7"/>
        <v>335531.54371522565</v>
      </c>
    </row>
    <row r="40" spans="2:9">
      <c r="B40" s="565" t="s">
        <v>657</v>
      </c>
      <c r="C40" s="212">
        <v>159229.32358890466</v>
      </c>
      <c r="D40" s="212">
        <v>115068.99586643079</v>
      </c>
      <c r="E40" s="212">
        <v>1086.0671981587614</v>
      </c>
      <c r="F40" s="212">
        <v>0</v>
      </c>
      <c r="G40" s="212">
        <v>0</v>
      </c>
      <c r="H40" s="212">
        <v>0</v>
      </c>
      <c r="I40" s="212">
        <f t="shared" si="7"/>
        <v>275384.38665349421</v>
      </c>
    </row>
    <row r="41" spans="2:9">
      <c r="B41" s="565" t="s">
        <v>658</v>
      </c>
      <c r="C41" s="212">
        <v>612172.80432269291</v>
      </c>
      <c r="D41" s="212">
        <v>235919.22209794936</v>
      </c>
      <c r="E41" s="212">
        <v>0</v>
      </c>
      <c r="F41" s="212">
        <v>0</v>
      </c>
      <c r="G41" s="212">
        <v>0</v>
      </c>
      <c r="H41" s="212">
        <v>0</v>
      </c>
      <c r="I41" s="212">
        <f t="shared" si="7"/>
        <v>848092.02642064227</v>
      </c>
    </row>
    <row r="42" spans="2:9">
      <c r="B42" s="565" t="s">
        <v>659</v>
      </c>
      <c r="C42" s="212">
        <v>6613.8799164014799</v>
      </c>
      <c r="D42" s="212">
        <v>7204.7230919855847</v>
      </c>
      <c r="E42" s="212">
        <v>7332.9581798526096</v>
      </c>
      <c r="F42" s="212">
        <v>7160.1876146022933</v>
      </c>
      <c r="G42" s="212">
        <v>6454.9463902930784</v>
      </c>
      <c r="H42" s="212">
        <v>6912.2130149825725</v>
      </c>
      <c r="I42" s="212">
        <f t="shared" si="7"/>
        <v>41678.908208117624</v>
      </c>
    </row>
    <row r="43" spans="2:9">
      <c r="B43" s="565" t="s">
        <v>660</v>
      </c>
      <c r="C43" s="212">
        <v>222763.14854816359</v>
      </c>
      <c r="D43" s="212">
        <v>211902.03105999425</v>
      </c>
      <c r="E43" s="212">
        <v>520013.18695396185</v>
      </c>
      <c r="F43" s="212">
        <v>123918.50750167703</v>
      </c>
      <c r="G43" s="212">
        <v>0</v>
      </c>
      <c r="H43" s="212">
        <v>0</v>
      </c>
      <c r="I43" s="212">
        <f t="shared" si="7"/>
        <v>1078596.8740637968</v>
      </c>
    </row>
    <row r="44" spans="2:9">
      <c r="B44" s="565" t="s">
        <v>661</v>
      </c>
      <c r="C44" s="212">
        <v>110237.15205485839</v>
      </c>
      <c r="D44" s="212">
        <v>95597.736192236596</v>
      </c>
      <c r="E44" s="212">
        <v>662326.87013164978</v>
      </c>
      <c r="F44" s="212">
        <v>515454.46966740343</v>
      </c>
      <c r="G44" s="212">
        <v>31034.057718257842</v>
      </c>
      <c r="H44" s="212">
        <v>29886.372327890775</v>
      </c>
      <c r="I44" s="212">
        <f t="shared" si="7"/>
        <v>1444536.6580922969</v>
      </c>
    </row>
    <row r="45" spans="2:9">
      <c r="B45" s="562" t="s">
        <v>662</v>
      </c>
      <c r="C45" s="624">
        <f>+SUM(C36:C44)</f>
        <v>1367749.5164811043</v>
      </c>
      <c r="D45" s="624">
        <f t="shared" ref="D45:I45" si="8">+SUM(D36:D44)</f>
        <v>865293.54052271205</v>
      </c>
      <c r="E45" s="624">
        <f t="shared" si="8"/>
        <v>1284139.5383328539</v>
      </c>
      <c r="F45" s="624">
        <f t="shared" si="8"/>
        <v>677060.79592100438</v>
      </c>
      <c r="G45" s="624">
        <f t="shared" si="8"/>
        <v>100031.93860861936</v>
      </c>
      <c r="H45" s="624">
        <f t="shared" si="8"/>
        <v>38975.622701488901</v>
      </c>
      <c r="I45" s="624">
        <f t="shared" si="8"/>
        <v>4333250.9525677832</v>
      </c>
    </row>
    <row r="46" spans="2:9">
      <c r="B46" s="210"/>
      <c r="C46" s="213"/>
      <c r="D46" s="213"/>
      <c r="E46" s="213"/>
      <c r="F46" s="213"/>
      <c r="G46" s="213"/>
      <c r="H46" s="213"/>
      <c r="I46" s="213"/>
    </row>
    <row r="47" spans="2:9">
      <c r="B47" s="562" t="s">
        <v>663</v>
      </c>
      <c r="C47" s="568">
        <f t="shared" ref="C47:H47" si="9">+C15+C22+C28+C33+C45</f>
        <v>5803788.5199877629</v>
      </c>
      <c r="D47" s="568">
        <f t="shared" si="9"/>
        <v>5240148.1651250692</v>
      </c>
      <c r="E47" s="568">
        <f t="shared" si="9"/>
        <v>5106292.697447611</v>
      </c>
      <c r="F47" s="568">
        <f t="shared" si="9"/>
        <v>3790443.5124271726</v>
      </c>
      <c r="G47" s="568">
        <f t="shared" si="9"/>
        <v>2333819.1245895219</v>
      </c>
      <c r="H47" s="568">
        <f t="shared" si="9"/>
        <v>1741939.7858342223</v>
      </c>
      <c r="I47" s="568">
        <f>+C47+D47+E47+F47+G47+H47</f>
        <v>24016431.805411361</v>
      </c>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zoomScale="70" zoomScaleNormal="70" workbookViewId="0">
      <pane xSplit="1" ySplit="8" topLeftCell="B9" activePane="bottomRight" state="frozen"/>
      <selection pane="topRight" activeCell="B1" sqref="B1"/>
      <selection pane="bottomLeft" activeCell="A5" sqref="A5"/>
      <selection pane="bottomRight" activeCell="B107" sqref="B107"/>
    </sheetView>
  </sheetViews>
  <sheetFormatPr baseColWidth="10" defaultColWidth="11.44140625" defaultRowHeight="14.4"/>
  <cols>
    <col min="2" max="2" width="24.88671875" customWidth="1"/>
    <col min="3" max="3" width="24.5546875" customWidth="1"/>
    <col min="4" max="4" width="9.5546875" customWidth="1"/>
    <col min="5" max="5" width="65.88671875" customWidth="1"/>
  </cols>
  <sheetData>
    <row r="1" spans="1:33">
      <c r="A1" s="1" t="s">
        <v>37</v>
      </c>
    </row>
    <row r="2" spans="1:33">
      <c r="A2" s="1"/>
    </row>
    <row r="3" spans="1:33">
      <c r="A3" s="1"/>
    </row>
    <row r="4" spans="1:33">
      <c r="A4" s="1"/>
    </row>
    <row r="5" spans="1:33">
      <c r="A5" s="1"/>
    </row>
    <row r="6" spans="1:33">
      <c r="A6" s="1"/>
    </row>
    <row r="7" spans="1:33" s="35" customFormat="1" ht="25.8">
      <c r="A7" s="35" t="s">
        <v>664</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row>
    <row r="8" spans="1:33" ht="20.399999999999999">
      <c r="A8" s="194" t="s">
        <v>665</v>
      </c>
      <c r="B8" s="195" t="s">
        <v>666</v>
      </c>
      <c r="C8" s="195" t="s">
        <v>667</v>
      </c>
      <c r="D8" s="196" t="s">
        <v>668</v>
      </c>
      <c r="E8" s="196" t="s">
        <v>669</v>
      </c>
      <c r="F8" s="196" t="s">
        <v>670</v>
      </c>
      <c r="G8" s="196"/>
      <c r="H8" s="197"/>
      <c r="I8" s="197"/>
      <c r="J8" s="197"/>
      <c r="K8" s="197"/>
      <c r="L8" s="197"/>
      <c r="M8" s="197"/>
      <c r="N8" s="197"/>
      <c r="O8" s="197"/>
      <c r="P8" s="197"/>
      <c r="Q8" s="193"/>
      <c r="R8" s="193"/>
      <c r="S8" s="193"/>
      <c r="T8" s="193"/>
      <c r="U8" s="193"/>
      <c r="V8" s="193"/>
      <c r="W8" s="193"/>
      <c r="X8" s="193"/>
      <c r="Y8" s="4"/>
      <c r="Z8" s="4"/>
      <c r="AA8" s="4"/>
      <c r="AB8" s="4"/>
      <c r="AC8" s="4"/>
      <c r="AD8" s="4"/>
      <c r="AE8" s="4"/>
      <c r="AF8" s="4"/>
      <c r="AG8" s="4"/>
    </row>
    <row r="9" spans="1:33" ht="15.6">
      <c r="A9" s="189" t="s">
        <v>626</v>
      </c>
      <c r="B9" s="132" t="s">
        <v>671</v>
      </c>
      <c r="C9" s="132" t="s">
        <v>672</v>
      </c>
      <c r="D9" s="132" t="s">
        <v>673</v>
      </c>
      <c r="E9" s="190" t="s">
        <v>674</v>
      </c>
      <c r="F9" s="132" t="s">
        <v>675</v>
      </c>
      <c r="G9" s="132"/>
      <c r="H9" s="132"/>
      <c r="I9" s="132"/>
      <c r="J9" s="132"/>
      <c r="K9" s="132"/>
      <c r="L9" s="132"/>
      <c r="M9" s="132"/>
      <c r="N9" s="132"/>
      <c r="O9" s="132"/>
      <c r="P9" s="132"/>
      <c r="Q9" s="132"/>
      <c r="R9" s="132"/>
      <c r="S9" s="4"/>
      <c r="T9" s="4"/>
      <c r="U9" s="4"/>
      <c r="V9" s="4"/>
      <c r="W9" s="4"/>
      <c r="X9" s="4"/>
      <c r="Y9" s="4"/>
      <c r="Z9" s="4"/>
      <c r="AA9" s="4"/>
      <c r="AB9" s="4"/>
      <c r="AC9" s="4"/>
      <c r="AD9" s="4"/>
      <c r="AE9" s="4"/>
      <c r="AF9" s="4"/>
      <c r="AG9" s="4"/>
    </row>
    <row r="10" spans="1:33" ht="15.6">
      <c r="A10" s="132" t="s">
        <v>626</v>
      </c>
      <c r="B10" s="132" t="s">
        <v>671</v>
      </c>
      <c r="C10" s="132" t="s">
        <v>676</v>
      </c>
      <c r="D10" s="132" t="s">
        <v>673</v>
      </c>
      <c r="E10" s="190" t="s">
        <v>674</v>
      </c>
      <c r="F10" s="132" t="s">
        <v>677</v>
      </c>
      <c r="G10" s="132"/>
      <c r="H10" s="132"/>
      <c r="I10" s="132"/>
      <c r="J10" s="132"/>
      <c r="K10" s="132"/>
      <c r="L10" s="132"/>
      <c r="M10" s="132"/>
      <c r="N10" s="132"/>
      <c r="O10" s="132"/>
      <c r="P10" s="132"/>
      <c r="Q10" s="132"/>
      <c r="R10" s="132"/>
      <c r="S10" s="4"/>
      <c r="T10" s="4"/>
      <c r="U10" s="4"/>
      <c r="V10" s="4"/>
      <c r="W10" s="4"/>
      <c r="X10" s="4"/>
      <c r="Y10" s="4"/>
      <c r="Z10" s="4"/>
      <c r="AA10" s="4"/>
      <c r="AB10" s="4"/>
      <c r="AC10" s="4"/>
      <c r="AD10" s="4"/>
      <c r="AE10" s="4"/>
      <c r="AF10" s="4"/>
      <c r="AG10" s="4"/>
    </row>
    <row r="11" spans="1:33" ht="15.6">
      <c r="A11" s="132" t="s">
        <v>626</v>
      </c>
      <c r="B11" s="132" t="s">
        <v>671</v>
      </c>
      <c r="C11" s="132" t="s">
        <v>678</v>
      </c>
      <c r="D11" s="132" t="s">
        <v>673</v>
      </c>
      <c r="E11" s="190" t="s">
        <v>674</v>
      </c>
      <c r="F11" s="132" t="s">
        <v>679</v>
      </c>
      <c r="G11" s="132"/>
      <c r="H11" s="132"/>
      <c r="I11" s="132"/>
      <c r="J11" s="132"/>
      <c r="K11" s="132"/>
      <c r="L11" s="132"/>
      <c r="M11" s="132"/>
      <c r="N11" s="132"/>
      <c r="O11" s="132"/>
      <c r="P11" s="132"/>
      <c r="Q11" s="132"/>
      <c r="R11" s="132"/>
      <c r="S11" s="4"/>
      <c r="T11" s="4"/>
      <c r="U11" s="4"/>
      <c r="V11" s="4"/>
      <c r="W11" s="4"/>
      <c r="X11" s="4"/>
      <c r="Y11" s="4"/>
      <c r="Z11" s="4"/>
      <c r="AA11" s="4"/>
      <c r="AB11" s="4"/>
      <c r="AC11" s="4"/>
      <c r="AD11" s="4"/>
      <c r="AE11" s="4"/>
      <c r="AF11" s="4"/>
      <c r="AG11" s="4"/>
    </row>
    <row r="12" spans="1:33" ht="15.6">
      <c r="A12" s="132" t="s">
        <v>626</v>
      </c>
      <c r="B12" s="132" t="s">
        <v>671</v>
      </c>
      <c r="C12" s="132" t="s">
        <v>680</v>
      </c>
      <c r="D12" s="132" t="s">
        <v>673</v>
      </c>
      <c r="E12" s="190" t="s">
        <v>674</v>
      </c>
      <c r="F12" s="132" t="s">
        <v>681</v>
      </c>
      <c r="G12" s="132"/>
      <c r="H12" s="132"/>
      <c r="I12" s="132"/>
      <c r="J12" s="132"/>
      <c r="K12" s="132"/>
      <c r="L12" s="132"/>
      <c r="M12" s="132"/>
      <c r="N12" s="132"/>
      <c r="O12" s="132"/>
      <c r="P12" s="132"/>
      <c r="Q12" s="132"/>
      <c r="R12" s="132"/>
      <c r="S12" s="4"/>
      <c r="T12" s="4"/>
      <c r="U12" s="4"/>
      <c r="V12" s="4"/>
      <c r="W12" s="4"/>
      <c r="X12" s="4"/>
      <c r="Y12" s="4"/>
      <c r="Z12" s="4"/>
      <c r="AA12" s="4"/>
      <c r="AB12" s="4"/>
      <c r="AC12" s="4"/>
      <c r="AD12" s="4"/>
      <c r="AE12" s="4"/>
      <c r="AF12" s="4"/>
      <c r="AG12" s="4"/>
    </row>
    <row r="13" spans="1:33" ht="15.6">
      <c r="A13" s="132" t="s">
        <v>626</v>
      </c>
      <c r="B13" s="132" t="s">
        <v>671</v>
      </c>
      <c r="C13" s="132" t="s">
        <v>682</v>
      </c>
      <c r="D13" s="132" t="s">
        <v>673</v>
      </c>
      <c r="E13" s="190" t="s">
        <v>674</v>
      </c>
      <c r="F13" s="132" t="s">
        <v>683</v>
      </c>
      <c r="G13" s="132"/>
      <c r="H13" s="132"/>
      <c r="I13" s="132"/>
      <c r="J13" s="132"/>
      <c r="K13" s="132"/>
      <c r="L13" s="132"/>
      <c r="M13" s="132"/>
      <c r="N13" s="132"/>
      <c r="O13" s="132"/>
      <c r="P13" s="132"/>
      <c r="Q13" s="132"/>
      <c r="R13" s="132"/>
      <c r="S13" s="4"/>
      <c r="T13" s="4"/>
      <c r="U13" s="4"/>
      <c r="V13" s="4"/>
      <c r="W13" s="4"/>
      <c r="X13" s="4"/>
      <c r="Y13" s="4"/>
      <c r="Z13" s="4"/>
      <c r="AA13" s="4"/>
      <c r="AB13" s="4"/>
      <c r="AC13" s="4"/>
      <c r="AD13" s="4"/>
      <c r="AE13" s="4"/>
      <c r="AF13" s="4"/>
      <c r="AG13" s="4"/>
    </row>
    <row r="14" spans="1:33" ht="15.6">
      <c r="A14" s="132" t="s">
        <v>626</v>
      </c>
      <c r="B14" s="132" t="s">
        <v>671</v>
      </c>
      <c r="C14" s="132" t="s">
        <v>684</v>
      </c>
      <c r="D14" s="132" t="s">
        <v>673</v>
      </c>
      <c r="E14" s="190" t="s">
        <v>674</v>
      </c>
      <c r="F14" s="132" t="s">
        <v>685</v>
      </c>
      <c r="G14" s="132"/>
      <c r="H14" s="132"/>
      <c r="I14" s="132"/>
      <c r="J14" s="132"/>
      <c r="K14" s="132"/>
      <c r="L14" s="132"/>
      <c r="M14" s="132"/>
      <c r="N14" s="132"/>
      <c r="O14" s="132"/>
      <c r="P14" s="132"/>
      <c r="Q14" s="132"/>
      <c r="R14" s="132"/>
      <c r="S14" s="4"/>
      <c r="T14" s="4"/>
      <c r="U14" s="4"/>
      <c r="V14" s="4"/>
      <c r="W14" s="4"/>
      <c r="X14" s="4"/>
      <c r="Y14" s="4"/>
      <c r="Z14" s="4"/>
      <c r="AA14" s="4"/>
      <c r="AB14" s="4"/>
      <c r="AC14" s="4"/>
      <c r="AD14" s="4"/>
      <c r="AE14" s="4"/>
      <c r="AF14" s="4"/>
      <c r="AG14" s="4"/>
    </row>
    <row r="15" spans="1:33" ht="15.6">
      <c r="A15" s="132" t="s">
        <v>626</v>
      </c>
      <c r="B15" s="132" t="s">
        <v>671</v>
      </c>
      <c r="C15" s="132" t="s">
        <v>686</v>
      </c>
      <c r="D15" s="132" t="s">
        <v>673</v>
      </c>
      <c r="E15" s="190" t="s">
        <v>674</v>
      </c>
      <c r="F15" s="132" t="s">
        <v>687</v>
      </c>
      <c r="G15" s="132"/>
      <c r="H15" s="132"/>
      <c r="I15" s="132"/>
      <c r="J15" s="132"/>
      <c r="K15" s="132"/>
      <c r="L15" s="132"/>
      <c r="M15" s="132"/>
      <c r="N15" s="132"/>
      <c r="O15" s="132"/>
      <c r="P15" s="132"/>
      <c r="Q15" s="132"/>
      <c r="R15" s="132"/>
      <c r="S15" s="4"/>
      <c r="T15" s="4"/>
      <c r="U15" s="4"/>
      <c r="V15" s="4"/>
      <c r="W15" s="4"/>
      <c r="X15" s="4"/>
      <c r="Y15" s="4"/>
      <c r="Z15" s="4"/>
      <c r="AA15" s="4"/>
      <c r="AB15" s="4"/>
      <c r="AC15" s="4"/>
      <c r="AD15" s="4"/>
      <c r="AE15" s="4"/>
      <c r="AF15" s="4"/>
      <c r="AG15" s="4"/>
    </row>
    <row r="16" spans="1:33" ht="15.6">
      <c r="A16" s="132" t="s">
        <v>626</v>
      </c>
      <c r="B16" s="132" t="s">
        <v>671</v>
      </c>
      <c r="C16" s="132" t="s">
        <v>688</v>
      </c>
      <c r="D16" s="132" t="s">
        <v>673</v>
      </c>
      <c r="E16" s="190" t="s">
        <v>674</v>
      </c>
      <c r="F16" s="132" t="s">
        <v>689</v>
      </c>
      <c r="G16" s="132"/>
      <c r="H16" s="132"/>
      <c r="I16" s="132"/>
      <c r="J16" s="132"/>
      <c r="K16" s="132"/>
      <c r="L16" s="132"/>
      <c r="M16" s="132"/>
      <c r="N16" s="132"/>
      <c r="O16" s="132"/>
      <c r="P16" s="132"/>
      <c r="Q16" s="132"/>
      <c r="R16" s="132"/>
      <c r="S16" s="4"/>
      <c r="T16" s="4"/>
      <c r="U16" s="4"/>
      <c r="V16" s="4"/>
      <c r="W16" s="4"/>
      <c r="X16" s="4"/>
      <c r="Y16" s="4"/>
      <c r="Z16" s="4"/>
      <c r="AA16" s="4"/>
      <c r="AB16" s="4"/>
      <c r="AC16" s="4"/>
      <c r="AD16" s="4"/>
      <c r="AE16" s="4"/>
      <c r="AF16" s="4"/>
      <c r="AG16" s="4"/>
    </row>
    <row r="17" spans="1:33" ht="15.6">
      <c r="A17" s="132" t="s">
        <v>626</v>
      </c>
      <c r="B17" s="132" t="s">
        <v>671</v>
      </c>
      <c r="C17" s="132" t="s">
        <v>690</v>
      </c>
      <c r="D17" s="132" t="s">
        <v>673</v>
      </c>
      <c r="E17" s="190" t="s">
        <v>674</v>
      </c>
      <c r="F17" s="132" t="s">
        <v>691</v>
      </c>
      <c r="G17" s="132"/>
      <c r="H17" s="132"/>
      <c r="I17" s="132"/>
      <c r="J17" s="132"/>
      <c r="K17" s="132"/>
      <c r="L17" s="132"/>
      <c r="M17" s="132"/>
      <c r="N17" s="132"/>
      <c r="O17" s="132"/>
      <c r="P17" s="132"/>
      <c r="Q17" s="132"/>
      <c r="R17" s="132"/>
      <c r="S17" s="4"/>
      <c r="T17" s="4"/>
      <c r="U17" s="4"/>
      <c r="V17" s="4"/>
      <c r="W17" s="4"/>
      <c r="X17" s="4"/>
      <c r="Y17" s="4"/>
      <c r="Z17" s="4"/>
      <c r="AA17" s="4"/>
      <c r="AB17" s="4"/>
      <c r="AC17" s="4"/>
      <c r="AD17" s="4"/>
      <c r="AE17" s="4"/>
      <c r="AF17" s="4"/>
      <c r="AG17" s="4"/>
    </row>
    <row r="18" spans="1:33" ht="15.6">
      <c r="A18" s="132" t="s">
        <v>626</v>
      </c>
      <c r="B18" s="132" t="s">
        <v>671</v>
      </c>
      <c r="C18" s="132" t="s">
        <v>692</v>
      </c>
      <c r="D18" s="132" t="s">
        <v>673</v>
      </c>
      <c r="E18" s="190" t="s">
        <v>674</v>
      </c>
      <c r="F18" s="132" t="s">
        <v>693</v>
      </c>
      <c r="G18" s="132"/>
      <c r="H18" s="132"/>
      <c r="I18" s="132"/>
      <c r="J18" s="132"/>
      <c r="K18" s="132"/>
      <c r="L18" s="132"/>
      <c r="M18" s="132"/>
      <c r="N18" s="132"/>
      <c r="O18" s="132"/>
      <c r="P18" s="132"/>
      <c r="Q18" s="132"/>
      <c r="R18" s="132"/>
      <c r="S18" s="4"/>
      <c r="T18" s="4"/>
      <c r="U18" s="4"/>
      <c r="V18" s="4"/>
      <c r="W18" s="4"/>
      <c r="X18" s="4"/>
      <c r="Y18" s="4"/>
      <c r="Z18" s="4"/>
      <c r="AA18" s="4"/>
      <c r="AB18" s="4"/>
      <c r="AC18" s="4"/>
      <c r="AD18" s="4"/>
      <c r="AE18" s="4"/>
      <c r="AF18" s="4"/>
      <c r="AG18" s="4"/>
    </row>
    <row r="19" spans="1:33" ht="15.6">
      <c r="A19" s="132" t="s">
        <v>626</v>
      </c>
      <c r="B19" s="132" t="s">
        <v>671</v>
      </c>
      <c r="C19" s="132" t="s">
        <v>694</v>
      </c>
      <c r="D19" s="132" t="s">
        <v>673</v>
      </c>
      <c r="E19" s="190" t="s">
        <v>674</v>
      </c>
      <c r="F19" s="132" t="s">
        <v>695</v>
      </c>
      <c r="G19" s="132"/>
      <c r="H19" s="132"/>
      <c r="I19" s="132"/>
      <c r="J19" s="132"/>
      <c r="K19" s="132"/>
      <c r="L19" s="132"/>
      <c r="M19" s="132"/>
      <c r="N19" s="132"/>
      <c r="O19" s="132"/>
      <c r="P19" s="132"/>
      <c r="Q19" s="132"/>
      <c r="R19" s="132"/>
      <c r="S19" s="4"/>
      <c r="T19" s="4"/>
      <c r="U19" s="4"/>
      <c r="V19" s="4"/>
      <c r="W19" s="4"/>
      <c r="X19" s="4"/>
      <c r="Y19" s="4"/>
      <c r="Z19" s="4"/>
      <c r="AA19" s="4"/>
      <c r="AB19" s="4"/>
      <c r="AC19" s="4"/>
      <c r="AD19" s="4"/>
      <c r="AE19" s="4"/>
      <c r="AF19" s="4"/>
      <c r="AG19" s="4"/>
    </row>
    <row r="20" spans="1:33" ht="15.6">
      <c r="A20" s="132" t="s">
        <v>626</v>
      </c>
      <c r="B20" s="132" t="s">
        <v>14</v>
      </c>
      <c r="C20" s="132" t="s">
        <v>696</v>
      </c>
      <c r="D20" s="132" t="s">
        <v>673</v>
      </c>
      <c r="E20" s="190" t="s">
        <v>674</v>
      </c>
      <c r="F20" s="132" t="s">
        <v>697</v>
      </c>
      <c r="G20" s="132"/>
      <c r="H20" s="132"/>
      <c r="I20" s="132"/>
      <c r="J20" s="132"/>
      <c r="K20" s="132"/>
      <c r="L20" s="132"/>
      <c r="M20" s="132"/>
      <c r="N20" s="132"/>
      <c r="O20" s="132"/>
      <c r="P20" s="132"/>
      <c r="Q20" s="132"/>
      <c r="R20" s="132"/>
      <c r="S20" s="4"/>
      <c r="T20" s="4"/>
      <c r="U20" s="4"/>
      <c r="V20" s="4"/>
      <c r="W20" s="4"/>
      <c r="X20" s="4"/>
      <c r="Y20" s="4"/>
      <c r="Z20" s="4"/>
      <c r="AA20" s="4"/>
      <c r="AB20" s="4"/>
      <c r="AC20" s="4"/>
      <c r="AD20" s="4"/>
      <c r="AE20" s="4"/>
      <c r="AF20" s="4"/>
      <c r="AG20" s="4"/>
    </row>
    <row r="21" spans="1:33" ht="15.6">
      <c r="A21" s="132" t="s">
        <v>626</v>
      </c>
      <c r="B21" s="132" t="s">
        <v>14</v>
      </c>
      <c r="C21" s="132" t="s">
        <v>698</v>
      </c>
      <c r="D21" s="132" t="s">
        <v>673</v>
      </c>
      <c r="E21" s="190" t="s">
        <v>674</v>
      </c>
      <c r="F21" s="132" t="s">
        <v>699</v>
      </c>
      <c r="G21" s="132"/>
      <c r="H21" s="132"/>
      <c r="I21" s="132"/>
      <c r="J21" s="132"/>
      <c r="K21" s="132"/>
      <c r="L21" s="132"/>
      <c r="M21" s="132"/>
      <c r="N21" s="132"/>
      <c r="O21" s="132"/>
      <c r="P21" s="132"/>
      <c r="Q21" s="132"/>
      <c r="R21" s="132"/>
      <c r="S21" s="4"/>
      <c r="T21" s="4"/>
      <c r="U21" s="4"/>
      <c r="V21" s="4"/>
      <c r="W21" s="4"/>
      <c r="X21" s="4"/>
      <c r="Y21" s="4"/>
      <c r="Z21" s="4"/>
      <c r="AA21" s="4"/>
      <c r="AB21" s="4"/>
      <c r="AC21" s="4"/>
      <c r="AD21" s="4"/>
      <c r="AE21" s="4"/>
      <c r="AF21" s="4"/>
      <c r="AG21" s="4"/>
    </row>
    <row r="22" spans="1:33" ht="15.6">
      <c r="A22" s="132" t="s">
        <v>626</v>
      </c>
      <c r="B22" s="132" t="s">
        <v>14</v>
      </c>
      <c r="C22" s="132" t="s">
        <v>700</v>
      </c>
      <c r="D22" s="132" t="s">
        <v>673</v>
      </c>
      <c r="E22" s="190" t="s">
        <v>674</v>
      </c>
      <c r="F22" s="132" t="s">
        <v>701</v>
      </c>
      <c r="G22" s="132"/>
      <c r="H22" s="132"/>
      <c r="I22" s="132"/>
      <c r="J22" s="132"/>
      <c r="K22" s="132"/>
      <c r="L22" s="132"/>
      <c r="M22" s="132"/>
      <c r="N22" s="132"/>
      <c r="O22" s="132"/>
      <c r="P22" s="132"/>
      <c r="Q22" s="132"/>
      <c r="R22" s="132"/>
      <c r="S22" s="4"/>
      <c r="T22" s="4"/>
      <c r="U22" s="4"/>
      <c r="V22" s="4"/>
      <c r="W22" s="4"/>
      <c r="X22" s="4"/>
      <c r="Y22" s="4"/>
      <c r="Z22" s="4"/>
      <c r="AA22" s="4"/>
      <c r="AB22" s="4"/>
      <c r="AC22" s="4"/>
      <c r="AD22" s="4"/>
      <c r="AE22" s="4"/>
      <c r="AF22" s="4"/>
      <c r="AG22" s="4"/>
    </row>
    <row r="23" spans="1:33" ht="15.6">
      <c r="A23" s="132" t="s">
        <v>626</v>
      </c>
      <c r="B23" s="132" t="s">
        <v>14</v>
      </c>
      <c r="C23" s="132" t="s">
        <v>702</v>
      </c>
      <c r="D23" s="132" t="s">
        <v>673</v>
      </c>
      <c r="E23" s="190" t="s">
        <v>674</v>
      </c>
      <c r="F23" s="132" t="s">
        <v>703</v>
      </c>
      <c r="G23" s="132"/>
      <c r="H23" s="132"/>
      <c r="I23" s="132"/>
      <c r="J23" s="132"/>
      <c r="K23" s="132"/>
      <c r="L23" s="132"/>
      <c r="M23" s="132"/>
      <c r="N23" s="132"/>
      <c r="O23" s="132"/>
      <c r="P23" s="132"/>
      <c r="Q23" s="132"/>
      <c r="R23" s="132"/>
      <c r="S23" s="4"/>
      <c r="T23" s="4"/>
      <c r="U23" s="4"/>
      <c r="V23" s="4"/>
      <c r="W23" s="4"/>
      <c r="X23" s="4"/>
      <c r="Y23" s="4"/>
      <c r="Z23" s="4"/>
      <c r="AA23" s="4"/>
      <c r="AB23" s="4"/>
      <c r="AC23" s="4"/>
      <c r="AD23" s="4"/>
      <c r="AE23" s="4"/>
      <c r="AF23" s="4"/>
      <c r="AG23" s="4"/>
    </row>
    <row r="24" spans="1:33" ht="15.6">
      <c r="A24" s="132" t="s">
        <v>626</v>
      </c>
      <c r="B24" s="132" t="s">
        <v>14</v>
      </c>
      <c r="C24" s="132" t="s">
        <v>704</v>
      </c>
      <c r="D24" s="132" t="s">
        <v>673</v>
      </c>
      <c r="E24" s="190" t="s">
        <v>674</v>
      </c>
      <c r="F24" s="132" t="s">
        <v>705</v>
      </c>
      <c r="G24" s="132"/>
      <c r="H24" s="132"/>
      <c r="I24" s="132"/>
      <c r="J24" s="132"/>
      <c r="K24" s="132"/>
      <c r="L24" s="132"/>
      <c r="M24" s="132"/>
      <c r="N24" s="132"/>
      <c r="O24" s="132"/>
      <c r="P24" s="132"/>
      <c r="Q24" s="132"/>
      <c r="R24" s="132"/>
      <c r="S24" s="4"/>
      <c r="T24" s="4"/>
      <c r="U24" s="4"/>
      <c r="V24" s="4"/>
      <c r="W24" s="4"/>
      <c r="X24" s="4"/>
      <c r="Y24" s="4"/>
      <c r="Z24" s="4"/>
      <c r="AA24" s="4"/>
      <c r="AB24" s="4"/>
      <c r="AC24" s="4"/>
      <c r="AD24" s="4"/>
      <c r="AE24" s="4"/>
      <c r="AF24" s="4"/>
      <c r="AG24" s="4"/>
    </row>
    <row r="25" spans="1:33" ht="15.6">
      <c r="A25" s="132" t="s">
        <v>626</v>
      </c>
      <c r="B25" s="132" t="s">
        <v>14</v>
      </c>
      <c r="C25" s="132" t="s">
        <v>706</v>
      </c>
      <c r="D25" s="132" t="s">
        <v>673</v>
      </c>
      <c r="E25" s="190" t="s">
        <v>674</v>
      </c>
      <c r="F25" s="132" t="s">
        <v>707</v>
      </c>
      <c r="G25" s="132"/>
      <c r="H25" s="132"/>
      <c r="I25" s="132"/>
      <c r="J25" s="132"/>
      <c r="K25" s="132"/>
      <c r="L25" s="132"/>
      <c r="M25" s="132"/>
      <c r="N25" s="132"/>
      <c r="O25" s="132"/>
      <c r="P25" s="132"/>
      <c r="Q25" s="132"/>
      <c r="R25" s="132"/>
      <c r="S25" s="4"/>
      <c r="T25" s="4"/>
      <c r="U25" s="4"/>
      <c r="V25" s="4"/>
      <c r="W25" s="4"/>
      <c r="X25" s="4"/>
      <c r="Y25" s="4"/>
      <c r="Z25" s="4"/>
      <c r="AA25" s="4"/>
      <c r="AB25" s="4"/>
      <c r="AC25" s="4"/>
      <c r="AD25" s="4"/>
      <c r="AE25" s="4"/>
      <c r="AF25" s="4"/>
      <c r="AG25" s="4"/>
    </row>
    <row r="26" spans="1:33" ht="15.6">
      <c r="A26" s="132" t="s">
        <v>626</v>
      </c>
      <c r="B26" s="132" t="s">
        <v>14</v>
      </c>
      <c r="C26" s="132" t="s">
        <v>708</v>
      </c>
      <c r="D26" s="132" t="s">
        <v>673</v>
      </c>
      <c r="E26" s="190" t="s">
        <v>674</v>
      </c>
      <c r="F26" s="132" t="s">
        <v>709</v>
      </c>
      <c r="G26" s="132"/>
      <c r="H26" s="132"/>
      <c r="I26" s="132"/>
      <c r="J26" s="132"/>
      <c r="K26" s="132"/>
      <c r="L26" s="132"/>
      <c r="M26" s="132"/>
      <c r="N26" s="132"/>
      <c r="O26" s="132"/>
      <c r="P26" s="132"/>
      <c r="Q26" s="132"/>
      <c r="R26" s="132"/>
      <c r="S26" s="4"/>
      <c r="T26" s="4"/>
      <c r="U26" s="4"/>
      <c r="V26" s="4"/>
      <c r="W26" s="4"/>
      <c r="X26" s="4"/>
      <c r="Y26" s="4"/>
      <c r="Z26" s="4"/>
      <c r="AA26" s="4"/>
      <c r="AB26" s="4"/>
      <c r="AC26" s="4"/>
      <c r="AD26" s="4"/>
      <c r="AE26" s="4"/>
      <c r="AF26" s="4"/>
      <c r="AG26" s="4"/>
    </row>
    <row r="27" spans="1:33" ht="15.6">
      <c r="A27" s="132" t="s">
        <v>626</v>
      </c>
      <c r="B27" s="132" t="s">
        <v>14</v>
      </c>
      <c r="C27" s="132" t="s">
        <v>710</v>
      </c>
      <c r="D27" s="132" t="s">
        <v>673</v>
      </c>
      <c r="E27" s="190" t="s">
        <v>674</v>
      </c>
      <c r="F27" s="132" t="s">
        <v>711</v>
      </c>
      <c r="G27" s="132"/>
      <c r="H27" s="132"/>
      <c r="I27" s="132"/>
      <c r="J27" s="132"/>
      <c r="K27" s="132"/>
      <c r="L27" s="132"/>
      <c r="M27" s="132"/>
      <c r="N27" s="132"/>
      <c r="O27" s="132"/>
      <c r="P27" s="132"/>
      <c r="Q27" s="132"/>
      <c r="R27" s="132"/>
      <c r="S27" s="4"/>
      <c r="T27" s="4"/>
      <c r="U27" s="4"/>
      <c r="V27" s="4"/>
      <c r="W27" s="4"/>
      <c r="X27" s="4"/>
      <c r="Y27" s="4"/>
      <c r="Z27" s="4"/>
      <c r="AA27" s="4"/>
      <c r="AB27" s="4"/>
      <c r="AC27" s="4"/>
      <c r="AD27" s="4"/>
      <c r="AE27" s="4"/>
      <c r="AF27" s="4"/>
      <c r="AG27" s="4"/>
    </row>
    <row r="28" spans="1:33" ht="15.6">
      <c r="A28" s="132" t="s">
        <v>626</v>
      </c>
      <c r="B28" s="132" t="s">
        <v>14</v>
      </c>
      <c r="C28" s="132" t="s">
        <v>712</v>
      </c>
      <c r="D28" s="132" t="s">
        <v>673</v>
      </c>
      <c r="E28" s="190" t="s">
        <v>674</v>
      </c>
      <c r="F28" s="132" t="s">
        <v>713</v>
      </c>
      <c r="G28" s="132"/>
      <c r="H28" s="132"/>
      <c r="I28" s="132"/>
      <c r="J28" s="132"/>
      <c r="K28" s="132"/>
      <c r="L28" s="132"/>
      <c r="M28" s="132"/>
      <c r="N28" s="132"/>
      <c r="O28" s="132"/>
      <c r="P28" s="132"/>
      <c r="Q28" s="132"/>
      <c r="R28" s="132"/>
      <c r="S28" s="4"/>
      <c r="T28" s="4"/>
      <c r="U28" s="4"/>
      <c r="V28" s="4"/>
      <c r="W28" s="4"/>
      <c r="X28" s="4"/>
      <c r="Y28" s="4"/>
      <c r="Z28" s="4"/>
      <c r="AA28" s="4"/>
      <c r="AB28" s="4"/>
      <c r="AC28" s="4"/>
      <c r="AD28" s="4"/>
      <c r="AE28" s="4"/>
      <c r="AF28" s="4"/>
      <c r="AG28" s="4"/>
    </row>
    <row r="29" spans="1:33" ht="15.6">
      <c r="A29" s="132" t="s">
        <v>626</v>
      </c>
      <c r="B29" s="132" t="s">
        <v>14</v>
      </c>
      <c r="C29" s="132" t="s">
        <v>714</v>
      </c>
      <c r="D29" s="132" t="s">
        <v>673</v>
      </c>
      <c r="E29" s="190" t="s">
        <v>674</v>
      </c>
      <c r="F29" s="132" t="s">
        <v>715</v>
      </c>
      <c r="G29" s="132"/>
      <c r="H29" s="132"/>
      <c r="I29" s="132"/>
      <c r="J29" s="132"/>
      <c r="K29" s="132"/>
      <c r="L29" s="132"/>
      <c r="M29" s="132"/>
      <c r="N29" s="132"/>
      <c r="O29" s="132"/>
      <c r="P29" s="132"/>
      <c r="Q29" s="132"/>
      <c r="R29" s="132"/>
      <c r="S29" s="4"/>
      <c r="T29" s="4"/>
      <c r="U29" s="4"/>
      <c r="V29" s="4"/>
      <c r="W29" s="4"/>
      <c r="X29" s="4"/>
      <c r="Y29" s="4"/>
      <c r="Z29" s="4"/>
      <c r="AA29" s="4"/>
      <c r="AB29" s="4"/>
      <c r="AC29" s="4"/>
      <c r="AD29" s="4"/>
      <c r="AE29" s="4"/>
      <c r="AF29" s="4"/>
      <c r="AG29" s="4"/>
    </row>
    <row r="30" spans="1:33" ht="15.6">
      <c r="A30" s="132" t="s">
        <v>626</v>
      </c>
      <c r="B30" s="132" t="s">
        <v>14</v>
      </c>
      <c r="C30" s="132" t="s">
        <v>716</v>
      </c>
      <c r="D30" s="132" t="s">
        <v>673</v>
      </c>
      <c r="E30" s="190" t="s">
        <v>674</v>
      </c>
      <c r="F30" s="132" t="s">
        <v>717</v>
      </c>
      <c r="G30" s="132"/>
      <c r="H30" s="132"/>
      <c r="I30" s="132"/>
      <c r="J30" s="132"/>
      <c r="K30" s="132"/>
      <c r="L30" s="132"/>
      <c r="M30" s="132"/>
      <c r="N30" s="132"/>
      <c r="O30" s="132"/>
      <c r="P30" s="132"/>
      <c r="Q30" s="132"/>
      <c r="R30" s="132"/>
      <c r="S30" s="4"/>
      <c r="T30" s="4"/>
      <c r="U30" s="4"/>
      <c r="V30" s="4"/>
      <c r="W30" s="4"/>
      <c r="X30" s="4"/>
      <c r="Y30" s="4"/>
      <c r="Z30" s="4"/>
      <c r="AA30" s="4"/>
      <c r="AB30" s="4"/>
      <c r="AC30" s="4"/>
      <c r="AD30" s="4"/>
      <c r="AE30" s="4"/>
      <c r="AF30" s="4"/>
      <c r="AG30" s="4"/>
    </row>
    <row r="31" spans="1:33" ht="15.6">
      <c r="A31" s="132" t="s">
        <v>626</v>
      </c>
      <c r="B31" s="132" t="s">
        <v>14</v>
      </c>
      <c r="C31" s="132" t="s">
        <v>718</v>
      </c>
      <c r="D31" s="132" t="s">
        <v>673</v>
      </c>
      <c r="E31" s="190" t="s">
        <v>674</v>
      </c>
      <c r="F31" s="132" t="s">
        <v>719</v>
      </c>
      <c r="G31" s="132"/>
      <c r="H31" s="132"/>
      <c r="I31" s="132"/>
      <c r="J31" s="132"/>
      <c r="K31" s="132"/>
      <c r="L31" s="132"/>
      <c r="M31" s="132"/>
      <c r="N31" s="132"/>
      <c r="O31" s="132"/>
      <c r="P31" s="132"/>
      <c r="Q31" s="132"/>
      <c r="R31" s="132"/>
      <c r="S31" s="4"/>
      <c r="T31" s="4"/>
      <c r="U31" s="4"/>
      <c r="V31" s="4"/>
      <c r="W31" s="4"/>
      <c r="X31" s="4"/>
      <c r="Y31" s="4"/>
      <c r="Z31" s="4"/>
      <c r="AA31" s="4"/>
      <c r="AB31" s="4"/>
      <c r="AC31" s="4"/>
      <c r="AD31" s="4"/>
      <c r="AE31" s="4"/>
      <c r="AF31" s="4"/>
      <c r="AG31" s="4"/>
    </row>
    <row r="32" spans="1:33" s="36" customFormat="1" ht="15.6">
      <c r="A32" s="132" t="s">
        <v>626</v>
      </c>
      <c r="B32" s="179" t="s">
        <v>14</v>
      </c>
      <c r="C32" s="179" t="s">
        <v>720</v>
      </c>
      <c r="D32" s="179" t="s">
        <v>673</v>
      </c>
      <c r="E32" s="191" t="s">
        <v>674</v>
      </c>
      <c r="F32" s="179" t="s">
        <v>721</v>
      </c>
      <c r="G32" s="179"/>
      <c r="H32" s="179"/>
      <c r="I32" s="179"/>
      <c r="J32" s="132"/>
      <c r="K32" s="179"/>
      <c r="L32" s="179"/>
      <c r="M32" s="179"/>
      <c r="N32" s="179"/>
      <c r="O32" s="179"/>
      <c r="P32" s="179"/>
      <c r="Q32" s="179"/>
      <c r="R32" s="179"/>
      <c r="S32" s="46"/>
      <c r="T32" s="46"/>
      <c r="U32" s="46"/>
      <c r="V32" s="46"/>
      <c r="W32" s="46"/>
      <c r="X32" s="46"/>
      <c r="Y32" s="46"/>
      <c r="Z32" s="46"/>
      <c r="AA32" s="46"/>
      <c r="AB32" s="46"/>
      <c r="AC32" s="46"/>
      <c r="AD32" s="46"/>
      <c r="AE32" s="46"/>
      <c r="AF32" s="46"/>
      <c r="AG32" s="46"/>
    </row>
    <row r="33" spans="1:33" s="36" customFormat="1" ht="15.6">
      <c r="A33" s="179" t="s">
        <v>626</v>
      </c>
      <c r="B33" s="179" t="s">
        <v>14</v>
      </c>
      <c r="C33" s="179" t="s">
        <v>722</v>
      </c>
      <c r="D33" s="179" t="s">
        <v>673</v>
      </c>
      <c r="E33" s="191" t="s">
        <v>674</v>
      </c>
      <c r="F33" s="179" t="s">
        <v>723</v>
      </c>
      <c r="G33" s="179"/>
      <c r="H33" s="179"/>
      <c r="I33" s="179"/>
      <c r="J33" s="132"/>
      <c r="K33" s="179"/>
      <c r="L33" s="179"/>
      <c r="M33" s="179"/>
      <c r="N33" s="179"/>
      <c r="O33" s="179"/>
      <c r="P33" s="179"/>
      <c r="Q33" s="179"/>
      <c r="R33" s="179"/>
      <c r="S33" s="46"/>
      <c r="T33" s="46"/>
      <c r="U33" s="46"/>
      <c r="V33" s="46"/>
      <c r="W33" s="46"/>
      <c r="X33" s="46"/>
      <c r="Y33" s="46"/>
      <c r="Z33" s="46"/>
      <c r="AA33" s="46"/>
      <c r="AB33" s="46"/>
      <c r="AC33" s="46"/>
      <c r="AD33" s="46"/>
      <c r="AE33" s="46"/>
      <c r="AF33" s="46"/>
      <c r="AG33" s="46"/>
    </row>
    <row r="34" spans="1:33" s="36" customFormat="1" ht="15.6">
      <c r="A34" s="179" t="s">
        <v>626</v>
      </c>
      <c r="B34" s="179" t="s">
        <v>14</v>
      </c>
      <c r="C34" s="179" t="s">
        <v>724</v>
      </c>
      <c r="D34" s="179" t="s">
        <v>673</v>
      </c>
      <c r="E34" s="191" t="s">
        <v>674</v>
      </c>
      <c r="F34" s="179" t="s">
        <v>725</v>
      </c>
      <c r="G34" s="179"/>
      <c r="H34" s="179"/>
      <c r="I34" s="179"/>
      <c r="J34" s="132"/>
      <c r="K34" s="179"/>
      <c r="L34" s="179"/>
      <c r="M34" s="179"/>
      <c r="N34" s="179"/>
      <c r="O34" s="179"/>
      <c r="P34" s="179"/>
      <c r="Q34" s="179"/>
      <c r="R34" s="179"/>
      <c r="S34" s="46"/>
      <c r="T34" s="46"/>
      <c r="U34" s="46"/>
      <c r="V34" s="46"/>
      <c r="W34" s="46"/>
      <c r="X34" s="46"/>
      <c r="Y34" s="46"/>
      <c r="Z34" s="46"/>
      <c r="AA34" s="46"/>
      <c r="AB34" s="46"/>
      <c r="AC34" s="46"/>
      <c r="AD34" s="46"/>
      <c r="AE34" s="46"/>
      <c r="AF34" s="46"/>
      <c r="AG34" s="46"/>
    </row>
    <row r="35" spans="1:33" ht="15.6">
      <c r="A35" s="179" t="s">
        <v>626</v>
      </c>
      <c r="B35" s="132" t="s">
        <v>14</v>
      </c>
      <c r="C35" s="132" t="s">
        <v>726</v>
      </c>
      <c r="D35" s="132" t="s">
        <v>673</v>
      </c>
      <c r="E35" s="190" t="s">
        <v>674</v>
      </c>
      <c r="F35" s="132" t="s">
        <v>727</v>
      </c>
      <c r="G35" s="132"/>
      <c r="H35" s="132"/>
      <c r="I35" s="132"/>
      <c r="J35" s="132"/>
      <c r="K35" s="132"/>
      <c r="L35" s="132"/>
      <c r="M35" s="132"/>
      <c r="N35" s="132"/>
      <c r="O35" s="132"/>
      <c r="P35" s="132"/>
      <c r="Q35" s="132"/>
      <c r="R35" s="132"/>
      <c r="S35" s="4"/>
      <c r="T35" s="4"/>
      <c r="U35" s="4"/>
      <c r="V35" s="4"/>
      <c r="W35" s="4"/>
      <c r="X35" s="4"/>
      <c r="Y35" s="4"/>
      <c r="Z35" s="4"/>
      <c r="AA35" s="4"/>
      <c r="AB35" s="4"/>
      <c r="AC35" s="4"/>
      <c r="AD35" s="4"/>
      <c r="AE35" s="4"/>
      <c r="AF35" s="4"/>
      <c r="AG35" s="4"/>
    </row>
    <row r="36" spans="1:33" s="36" customFormat="1" ht="15.6">
      <c r="A36" s="132" t="s">
        <v>626</v>
      </c>
      <c r="B36" s="179" t="s">
        <v>14</v>
      </c>
      <c r="C36" s="179" t="s">
        <v>728</v>
      </c>
      <c r="D36" s="179" t="s">
        <v>673</v>
      </c>
      <c r="E36" s="191" t="s">
        <v>674</v>
      </c>
      <c r="F36" s="179" t="s">
        <v>729</v>
      </c>
      <c r="G36" s="179"/>
      <c r="H36" s="179"/>
      <c r="I36" s="179"/>
      <c r="J36" s="132"/>
      <c r="K36" s="179"/>
      <c r="L36" s="179"/>
      <c r="M36" s="179"/>
      <c r="N36" s="179"/>
      <c r="O36" s="179"/>
      <c r="P36" s="179"/>
      <c r="Q36" s="179"/>
      <c r="R36" s="179"/>
      <c r="S36" s="46"/>
      <c r="T36" s="46"/>
      <c r="U36" s="46"/>
      <c r="V36" s="46"/>
      <c r="W36" s="46"/>
      <c r="X36" s="46"/>
      <c r="Y36" s="46"/>
      <c r="Z36" s="46"/>
      <c r="AA36" s="46"/>
      <c r="AB36" s="46"/>
      <c r="AC36" s="46"/>
      <c r="AD36" s="46"/>
      <c r="AE36" s="46"/>
      <c r="AF36" s="46"/>
      <c r="AG36" s="46"/>
    </row>
    <row r="37" spans="1:33" s="36" customFormat="1" ht="15.6">
      <c r="A37" s="179" t="s">
        <v>626</v>
      </c>
      <c r="B37" s="179" t="s">
        <v>14</v>
      </c>
      <c r="C37" s="179" t="s">
        <v>730</v>
      </c>
      <c r="D37" s="179" t="s">
        <v>673</v>
      </c>
      <c r="E37" s="191" t="s">
        <v>674</v>
      </c>
      <c r="F37" s="179" t="s">
        <v>731</v>
      </c>
      <c r="G37" s="179"/>
      <c r="H37" s="179"/>
      <c r="I37" s="179"/>
      <c r="J37" s="132"/>
      <c r="K37" s="179"/>
      <c r="L37" s="179"/>
      <c r="M37" s="179"/>
      <c r="N37" s="179"/>
      <c r="O37" s="179"/>
      <c r="P37" s="179"/>
      <c r="Q37" s="179"/>
      <c r="R37" s="179"/>
      <c r="S37" s="46"/>
      <c r="T37" s="46"/>
      <c r="U37" s="46"/>
      <c r="V37" s="46"/>
      <c r="W37" s="46"/>
      <c r="X37" s="46"/>
      <c r="Y37" s="46"/>
      <c r="Z37" s="46"/>
      <c r="AA37" s="46"/>
      <c r="AB37" s="46"/>
      <c r="AC37" s="46"/>
      <c r="AD37" s="46"/>
      <c r="AE37" s="46"/>
      <c r="AF37" s="46"/>
      <c r="AG37" s="46"/>
    </row>
    <row r="38" spans="1:33" ht="15.6">
      <c r="A38" s="179" t="s">
        <v>626</v>
      </c>
      <c r="B38" s="132" t="s">
        <v>14</v>
      </c>
      <c r="C38" s="132" t="s">
        <v>732</v>
      </c>
      <c r="D38" s="132" t="s">
        <v>673</v>
      </c>
      <c r="E38" s="190" t="s">
        <v>674</v>
      </c>
      <c r="F38" s="132" t="s">
        <v>733</v>
      </c>
      <c r="G38" s="132"/>
      <c r="H38" s="132"/>
      <c r="I38" s="132"/>
      <c r="J38" s="132"/>
      <c r="K38" s="132"/>
      <c r="L38" s="132"/>
      <c r="M38" s="132"/>
      <c r="N38" s="132"/>
      <c r="O38" s="132"/>
      <c r="P38" s="132"/>
      <c r="Q38" s="132"/>
      <c r="R38" s="132"/>
      <c r="S38" s="4"/>
      <c r="T38" s="4"/>
      <c r="U38" s="4"/>
      <c r="V38" s="4"/>
      <c r="W38" s="4"/>
      <c r="X38" s="4"/>
      <c r="Y38" s="4"/>
      <c r="Z38" s="4"/>
      <c r="AA38" s="4"/>
      <c r="AB38" s="4"/>
      <c r="AC38" s="4"/>
      <c r="AD38" s="4"/>
      <c r="AE38" s="4"/>
      <c r="AF38" s="4"/>
      <c r="AG38" s="4"/>
    </row>
    <row r="39" spans="1:33" s="36" customFormat="1" ht="15.6">
      <c r="A39" s="132" t="s">
        <v>626</v>
      </c>
      <c r="B39" s="179" t="s">
        <v>14</v>
      </c>
      <c r="C39" s="179" t="s">
        <v>734</v>
      </c>
      <c r="D39" s="179" t="s">
        <v>673</v>
      </c>
      <c r="E39" s="191" t="s">
        <v>674</v>
      </c>
      <c r="F39" s="179" t="s">
        <v>735</v>
      </c>
      <c r="G39" s="179"/>
      <c r="H39" s="179"/>
      <c r="I39" s="179"/>
      <c r="J39" s="132"/>
      <c r="K39" s="179"/>
      <c r="L39" s="179"/>
      <c r="M39" s="179"/>
      <c r="N39" s="179"/>
      <c r="O39" s="179"/>
      <c r="P39" s="179"/>
      <c r="Q39" s="179"/>
      <c r="R39" s="179"/>
      <c r="S39" s="46"/>
      <c r="T39" s="46"/>
      <c r="U39" s="46"/>
      <c r="V39" s="46"/>
      <c r="W39" s="46"/>
      <c r="X39" s="46"/>
      <c r="Y39" s="46"/>
      <c r="Z39" s="46"/>
      <c r="AA39" s="46"/>
      <c r="AB39" s="46"/>
      <c r="AC39" s="46"/>
      <c r="AD39" s="46"/>
      <c r="AE39" s="46"/>
      <c r="AF39" s="46"/>
      <c r="AG39" s="46"/>
    </row>
    <row r="40" spans="1:33" s="36" customFormat="1" ht="15.6">
      <c r="A40" s="179" t="s">
        <v>626</v>
      </c>
      <c r="B40" s="179" t="s">
        <v>14</v>
      </c>
      <c r="C40" s="179" t="s">
        <v>736</v>
      </c>
      <c r="D40" s="179" t="s">
        <v>673</v>
      </c>
      <c r="E40" s="191" t="s">
        <v>674</v>
      </c>
      <c r="F40" s="179" t="s">
        <v>737</v>
      </c>
      <c r="G40" s="179"/>
      <c r="H40" s="179"/>
      <c r="I40" s="179"/>
      <c r="J40" s="132"/>
      <c r="K40" s="179"/>
      <c r="L40" s="179"/>
      <c r="M40" s="179"/>
      <c r="N40" s="179"/>
      <c r="O40" s="179"/>
      <c r="P40" s="179"/>
      <c r="Q40" s="179"/>
      <c r="R40" s="179"/>
      <c r="S40" s="46"/>
      <c r="T40" s="46"/>
      <c r="U40" s="46"/>
      <c r="V40" s="46"/>
      <c r="W40" s="46"/>
      <c r="X40" s="46"/>
      <c r="Y40" s="46"/>
      <c r="Z40" s="46"/>
      <c r="AA40" s="46"/>
      <c r="AB40" s="46"/>
      <c r="AC40" s="46"/>
      <c r="AD40" s="46"/>
      <c r="AE40" s="46"/>
      <c r="AF40" s="46"/>
      <c r="AG40" s="46"/>
    </row>
    <row r="41" spans="1:33" s="36" customFormat="1" ht="15.6">
      <c r="A41" s="179" t="s">
        <v>626</v>
      </c>
      <c r="B41" s="179" t="s">
        <v>738</v>
      </c>
      <c r="C41" s="179" t="s">
        <v>739</v>
      </c>
      <c r="D41" s="179" t="s">
        <v>673</v>
      </c>
      <c r="E41" s="191" t="s">
        <v>674</v>
      </c>
      <c r="F41" s="179" t="s">
        <v>740</v>
      </c>
      <c r="G41" s="179"/>
      <c r="H41" s="179"/>
      <c r="I41" s="179"/>
      <c r="J41" s="132"/>
      <c r="K41" s="179"/>
      <c r="L41" s="179"/>
      <c r="M41" s="179"/>
      <c r="N41" s="179"/>
      <c r="O41" s="179"/>
      <c r="P41" s="179"/>
      <c r="Q41" s="179"/>
      <c r="R41" s="179"/>
      <c r="S41" s="46"/>
      <c r="T41" s="46"/>
      <c r="U41" s="46"/>
      <c r="V41" s="46"/>
      <c r="W41" s="46"/>
      <c r="X41" s="46"/>
      <c r="Y41" s="46"/>
      <c r="Z41" s="46"/>
      <c r="AA41" s="46"/>
      <c r="AB41" s="46"/>
      <c r="AC41" s="46"/>
      <c r="AD41" s="46"/>
      <c r="AE41" s="46"/>
      <c r="AF41" s="46"/>
      <c r="AG41" s="46"/>
    </row>
    <row r="42" spans="1:33" ht="15.6">
      <c r="A42" s="179" t="s">
        <v>626</v>
      </c>
      <c r="B42" s="132" t="s">
        <v>741</v>
      </c>
      <c r="C42" s="132" t="s">
        <v>742</v>
      </c>
      <c r="D42" s="132" t="s">
        <v>673</v>
      </c>
      <c r="E42" s="190" t="s">
        <v>674</v>
      </c>
      <c r="F42" s="132" t="s">
        <v>743</v>
      </c>
      <c r="G42" s="132"/>
      <c r="H42" s="132"/>
      <c r="I42" s="132"/>
      <c r="J42" s="132"/>
      <c r="K42" s="132"/>
      <c r="L42" s="132"/>
      <c r="M42" s="132"/>
      <c r="N42" s="132"/>
      <c r="O42" s="132"/>
      <c r="P42" s="132"/>
      <c r="Q42" s="132"/>
      <c r="R42" s="132"/>
      <c r="S42" s="4"/>
      <c r="T42" s="4"/>
      <c r="U42" s="4"/>
      <c r="V42" s="4"/>
      <c r="W42" s="4"/>
      <c r="X42" s="4"/>
      <c r="Y42" s="4"/>
      <c r="Z42" s="4"/>
      <c r="AA42" s="4"/>
      <c r="AB42" s="4"/>
      <c r="AC42" s="4"/>
      <c r="AD42" s="4"/>
      <c r="AE42" s="4"/>
      <c r="AF42" s="4"/>
      <c r="AG42" s="4"/>
    </row>
    <row r="43" spans="1:33" ht="15.6">
      <c r="A43" s="132" t="s">
        <v>626</v>
      </c>
      <c r="B43" s="132" t="s">
        <v>741</v>
      </c>
      <c r="C43" s="132" t="s">
        <v>744</v>
      </c>
      <c r="D43" s="132" t="s">
        <v>673</v>
      </c>
      <c r="E43" s="190" t="s">
        <v>674</v>
      </c>
      <c r="F43" s="132" t="s">
        <v>745</v>
      </c>
      <c r="G43" s="132"/>
      <c r="H43" s="132"/>
      <c r="I43" s="132"/>
      <c r="J43" s="132"/>
      <c r="K43" s="132"/>
      <c r="L43" s="132"/>
      <c r="M43" s="132"/>
      <c r="N43" s="132"/>
      <c r="O43" s="132"/>
      <c r="P43" s="132"/>
      <c r="Q43" s="132"/>
      <c r="R43" s="132"/>
      <c r="S43" s="4"/>
      <c r="T43" s="4"/>
      <c r="U43" s="4"/>
      <c r="V43" s="4"/>
      <c r="W43" s="4"/>
      <c r="X43" s="4"/>
      <c r="Y43" s="4"/>
      <c r="Z43" s="4"/>
      <c r="AA43" s="4"/>
      <c r="AB43" s="4"/>
      <c r="AC43" s="4"/>
      <c r="AD43" s="4"/>
      <c r="AE43" s="4"/>
      <c r="AF43" s="4"/>
      <c r="AG43" s="4"/>
    </row>
    <row r="44" spans="1:33" ht="15.6">
      <c r="A44" s="132" t="s">
        <v>626</v>
      </c>
      <c r="B44" s="132" t="s">
        <v>741</v>
      </c>
      <c r="C44" s="132" t="s">
        <v>746</v>
      </c>
      <c r="D44" s="132" t="s">
        <v>673</v>
      </c>
      <c r="E44" s="190" t="s">
        <v>674</v>
      </c>
      <c r="F44" s="132" t="s">
        <v>747</v>
      </c>
      <c r="G44" s="132"/>
      <c r="H44" s="132"/>
      <c r="I44" s="132"/>
      <c r="J44" s="132"/>
      <c r="K44" s="132"/>
      <c r="L44" s="132"/>
      <c r="M44" s="132"/>
      <c r="N44" s="132"/>
      <c r="O44" s="132"/>
      <c r="P44" s="132"/>
      <c r="Q44" s="132"/>
      <c r="R44" s="132"/>
      <c r="S44" s="4"/>
      <c r="T44" s="4"/>
      <c r="U44" s="4"/>
      <c r="V44" s="4"/>
      <c r="W44" s="4"/>
      <c r="X44" s="4"/>
      <c r="Y44" s="4"/>
      <c r="Z44" s="4"/>
      <c r="AA44" s="4"/>
      <c r="AB44" s="4"/>
      <c r="AC44" s="4"/>
      <c r="AD44" s="4"/>
      <c r="AE44" s="4"/>
      <c r="AF44" s="4"/>
      <c r="AG44" s="4"/>
    </row>
    <row r="45" spans="1:33" ht="15.6">
      <c r="A45" s="132" t="s">
        <v>626</v>
      </c>
      <c r="B45" s="132" t="s">
        <v>741</v>
      </c>
      <c r="C45" s="132" t="s">
        <v>748</v>
      </c>
      <c r="D45" s="132" t="s">
        <v>673</v>
      </c>
      <c r="E45" s="190" t="s">
        <v>674</v>
      </c>
      <c r="F45" s="132" t="s">
        <v>749</v>
      </c>
      <c r="G45" s="132"/>
      <c r="H45" s="132"/>
      <c r="I45" s="132"/>
      <c r="J45" s="132"/>
      <c r="K45" s="132"/>
      <c r="L45" s="132"/>
      <c r="M45" s="132"/>
      <c r="N45" s="132"/>
      <c r="O45" s="132"/>
      <c r="P45" s="132"/>
      <c r="Q45" s="132"/>
      <c r="R45" s="132"/>
      <c r="S45" s="4"/>
      <c r="T45" s="4"/>
      <c r="U45" s="4"/>
      <c r="V45" s="4"/>
      <c r="W45" s="4"/>
      <c r="X45" s="4"/>
      <c r="Y45" s="4"/>
      <c r="Z45" s="4"/>
      <c r="AA45" s="4"/>
      <c r="AB45" s="4"/>
      <c r="AC45" s="4"/>
      <c r="AD45" s="4"/>
      <c r="AE45" s="4"/>
      <c r="AF45" s="4"/>
      <c r="AG45" s="4"/>
    </row>
    <row r="46" spans="1:33" ht="15.6">
      <c r="A46" s="132" t="s">
        <v>626</v>
      </c>
      <c r="B46" s="132" t="s">
        <v>741</v>
      </c>
      <c r="C46" s="132" t="s">
        <v>750</v>
      </c>
      <c r="D46" s="132" t="s">
        <v>673</v>
      </c>
      <c r="E46" s="190" t="s">
        <v>674</v>
      </c>
      <c r="F46" s="132" t="s">
        <v>751</v>
      </c>
      <c r="G46" s="132"/>
      <c r="H46" s="132"/>
      <c r="I46" s="132"/>
      <c r="J46" s="132"/>
      <c r="K46" s="132"/>
      <c r="L46" s="132"/>
      <c r="M46" s="132"/>
      <c r="N46" s="132"/>
      <c r="O46" s="132"/>
      <c r="P46" s="132"/>
      <c r="Q46" s="132"/>
      <c r="R46" s="132"/>
      <c r="S46" s="4"/>
      <c r="T46" s="4"/>
      <c r="U46" s="4"/>
      <c r="V46" s="4"/>
      <c r="W46" s="4"/>
      <c r="X46" s="4"/>
      <c r="Y46" s="4"/>
      <c r="Z46" s="4"/>
      <c r="AA46" s="4"/>
      <c r="AB46" s="4"/>
      <c r="AC46" s="4"/>
      <c r="AD46" s="4"/>
      <c r="AE46" s="4"/>
      <c r="AF46" s="4"/>
      <c r="AG46" s="4"/>
    </row>
    <row r="47" spans="1:33" ht="15.6">
      <c r="A47" s="132" t="s">
        <v>626</v>
      </c>
      <c r="B47" s="132" t="s">
        <v>741</v>
      </c>
      <c r="C47" s="132" t="s">
        <v>752</v>
      </c>
      <c r="D47" s="132" t="s">
        <v>673</v>
      </c>
      <c r="E47" s="190" t="s">
        <v>674</v>
      </c>
      <c r="F47" s="132" t="s">
        <v>753</v>
      </c>
      <c r="G47" s="132"/>
      <c r="H47" s="132"/>
      <c r="I47" s="132"/>
      <c r="J47" s="132"/>
      <c r="K47" s="132"/>
      <c r="L47" s="132"/>
      <c r="M47" s="132"/>
      <c r="N47" s="132"/>
      <c r="O47" s="132"/>
      <c r="P47" s="132"/>
      <c r="Q47" s="132"/>
      <c r="R47" s="132"/>
      <c r="S47" s="4"/>
      <c r="T47" s="4"/>
      <c r="U47" s="4"/>
      <c r="V47" s="4"/>
      <c r="W47" s="4"/>
      <c r="X47" s="4"/>
      <c r="Y47" s="4"/>
      <c r="Z47" s="4"/>
      <c r="AA47" s="4"/>
      <c r="AB47" s="4"/>
      <c r="AC47" s="4"/>
      <c r="AD47" s="4"/>
      <c r="AE47" s="4"/>
      <c r="AF47" s="4"/>
      <c r="AG47" s="4"/>
    </row>
    <row r="48" spans="1:33" ht="15.6">
      <c r="A48" s="132" t="s">
        <v>626</v>
      </c>
      <c r="B48" s="132" t="s">
        <v>741</v>
      </c>
      <c r="C48" s="132" t="s">
        <v>754</v>
      </c>
      <c r="D48" s="132" t="s">
        <v>673</v>
      </c>
      <c r="E48" s="190" t="s">
        <v>674</v>
      </c>
      <c r="F48" s="132" t="s">
        <v>755</v>
      </c>
      <c r="G48" s="132"/>
      <c r="H48" s="132"/>
      <c r="I48" s="132"/>
      <c r="J48" s="132"/>
      <c r="K48" s="132"/>
      <c r="L48" s="132"/>
      <c r="M48" s="132"/>
      <c r="N48" s="132"/>
      <c r="O48" s="132"/>
      <c r="P48" s="132"/>
      <c r="Q48" s="132"/>
      <c r="R48" s="132"/>
      <c r="S48" s="4"/>
      <c r="T48" s="4"/>
      <c r="U48" s="4"/>
      <c r="V48" s="4"/>
      <c r="W48" s="4"/>
      <c r="X48" s="4"/>
      <c r="Y48" s="4"/>
      <c r="Z48" s="4"/>
      <c r="AA48" s="4"/>
      <c r="AB48" s="4"/>
      <c r="AC48" s="4"/>
      <c r="AD48" s="4"/>
      <c r="AE48" s="4"/>
      <c r="AF48" s="4"/>
      <c r="AG48" s="4"/>
    </row>
    <row r="49" spans="1:33" ht="15.6">
      <c r="A49" s="132" t="s">
        <v>626</v>
      </c>
      <c r="B49" s="132" t="s">
        <v>741</v>
      </c>
      <c r="C49" s="132" t="s">
        <v>756</v>
      </c>
      <c r="D49" s="132" t="s">
        <v>673</v>
      </c>
      <c r="E49" s="190" t="s">
        <v>674</v>
      </c>
      <c r="F49" s="132" t="s">
        <v>757</v>
      </c>
      <c r="G49" s="132"/>
      <c r="H49" s="132"/>
      <c r="I49" s="132"/>
      <c r="J49" s="132"/>
      <c r="K49" s="132"/>
      <c r="L49" s="132"/>
      <c r="M49" s="132"/>
      <c r="N49" s="132"/>
      <c r="O49" s="132"/>
      <c r="P49" s="132"/>
      <c r="Q49" s="132"/>
      <c r="R49" s="132"/>
      <c r="S49" s="4"/>
      <c r="T49" s="4"/>
      <c r="U49" s="4"/>
      <c r="V49" s="4"/>
      <c r="W49" s="4"/>
      <c r="X49" s="4"/>
      <c r="Y49" s="4"/>
      <c r="Z49" s="4"/>
      <c r="AA49" s="4"/>
      <c r="AB49" s="4"/>
      <c r="AC49" s="4"/>
      <c r="AD49" s="4"/>
      <c r="AE49" s="4"/>
      <c r="AF49" s="4"/>
      <c r="AG49" s="4"/>
    </row>
    <row r="50" spans="1:33" ht="15.6">
      <c r="A50" s="132" t="s">
        <v>626</v>
      </c>
      <c r="B50" s="132" t="s">
        <v>741</v>
      </c>
      <c r="C50" s="132" t="s">
        <v>758</v>
      </c>
      <c r="D50" s="132" t="s">
        <v>673</v>
      </c>
      <c r="E50" s="190" t="s">
        <v>674</v>
      </c>
      <c r="F50" s="132" t="s">
        <v>759</v>
      </c>
      <c r="G50" s="132"/>
      <c r="H50" s="132"/>
      <c r="I50" s="132"/>
      <c r="J50" s="132"/>
      <c r="K50" s="132"/>
      <c r="L50" s="132"/>
      <c r="M50" s="132"/>
      <c r="N50" s="132"/>
      <c r="O50" s="132"/>
      <c r="P50" s="132"/>
      <c r="Q50" s="132"/>
      <c r="R50" s="132"/>
      <c r="S50" s="4"/>
      <c r="T50" s="4"/>
      <c r="U50" s="4"/>
      <c r="V50" s="4"/>
      <c r="W50" s="4"/>
      <c r="X50" s="4"/>
      <c r="Y50" s="4"/>
      <c r="Z50" s="4"/>
      <c r="AA50" s="4"/>
      <c r="AB50" s="4"/>
      <c r="AC50" s="4"/>
      <c r="AD50" s="4"/>
      <c r="AE50" s="4"/>
      <c r="AF50" s="4"/>
      <c r="AG50" s="4"/>
    </row>
    <row r="51" spans="1:33" ht="15.6">
      <c r="A51" s="132" t="s">
        <v>626</v>
      </c>
      <c r="B51" s="132" t="s">
        <v>741</v>
      </c>
      <c r="C51" s="132" t="s">
        <v>760</v>
      </c>
      <c r="D51" s="132" t="s">
        <v>673</v>
      </c>
      <c r="E51" s="190" t="s">
        <v>674</v>
      </c>
      <c r="F51" s="132" t="s">
        <v>761</v>
      </c>
      <c r="G51" s="132"/>
      <c r="H51" s="132"/>
      <c r="I51" s="132"/>
      <c r="J51" s="132"/>
      <c r="K51" s="132"/>
      <c r="L51" s="132"/>
      <c r="M51" s="132"/>
      <c r="N51" s="132"/>
      <c r="O51" s="132"/>
      <c r="P51" s="132"/>
      <c r="Q51" s="132"/>
      <c r="R51" s="132"/>
      <c r="S51" s="4"/>
      <c r="T51" s="4"/>
      <c r="U51" s="4"/>
      <c r="V51" s="4"/>
      <c r="W51" s="4"/>
      <c r="X51" s="4"/>
      <c r="Y51" s="4"/>
      <c r="Z51" s="4"/>
      <c r="AA51" s="4"/>
      <c r="AB51" s="4"/>
      <c r="AC51" s="4"/>
      <c r="AD51" s="4"/>
      <c r="AE51" s="4"/>
      <c r="AF51" s="4"/>
      <c r="AG51" s="4"/>
    </row>
    <row r="52" spans="1:33" ht="15.6">
      <c r="A52" s="132" t="s">
        <v>626</v>
      </c>
      <c r="B52" s="132" t="s">
        <v>741</v>
      </c>
      <c r="C52" s="132" t="s">
        <v>762</v>
      </c>
      <c r="D52" s="132" t="s">
        <v>673</v>
      </c>
      <c r="E52" s="190" t="s">
        <v>674</v>
      </c>
      <c r="F52" s="132" t="s">
        <v>763</v>
      </c>
      <c r="G52" s="132"/>
      <c r="H52" s="132"/>
      <c r="I52" s="132"/>
      <c r="J52" s="132"/>
      <c r="K52" s="132"/>
      <c r="L52" s="132"/>
      <c r="M52" s="132"/>
      <c r="N52" s="132"/>
      <c r="O52" s="132"/>
      <c r="P52" s="132"/>
      <c r="Q52" s="132"/>
      <c r="R52" s="132"/>
      <c r="S52" s="4"/>
      <c r="T52" s="4"/>
      <c r="U52" s="4"/>
      <c r="V52" s="4"/>
      <c r="W52" s="4"/>
      <c r="X52" s="4"/>
      <c r="Y52" s="4"/>
      <c r="Z52" s="4"/>
      <c r="AA52" s="4"/>
      <c r="AB52" s="4"/>
      <c r="AC52" s="4"/>
      <c r="AD52" s="4"/>
      <c r="AE52" s="4"/>
      <c r="AF52" s="4"/>
      <c r="AG52" s="4"/>
    </row>
    <row r="53" spans="1:33" ht="15.6">
      <c r="A53" s="132" t="s">
        <v>626</v>
      </c>
      <c r="B53" s="132" t="s">
        <v>741</v>
      </c>
      <c r="C53" s="132" t="s">
        <v>764</v>
      </c>
      <c r="D53" s="132" t="s">
        <v>673</v>
      </c>
      <c r="E53" s="190" t="s">
        <v>674</v>
      </c>
      <c r="F53" s="132" t="s">
        <v>765</v>
      </c>
      <c r="G53" s="132"/>
      <c r="H53" s="132"/>
      <c r="I53" s="132"/>
      <c r="J53" s="132"/>
      <c r="K53" s="132"/>
      <c r="L53" s="132"/>
      <c r="M53" s="132"/>
      <c r="N53" s="132"/>
      <c r="O53" s="132"/>
      <c r="P53" s="132"/>
      <c r="Q53" s="132"/>
      <c r="R53" s="132"/>
      <c r="S53" s="4"/>
      <c r="T53" s="4"/>
      <c r="U53" s="4"/>
      <c r="V53" s="4"/>
      <c r="W53" s="4"/>
      <c r="X53" s="4"/>
      <c r="Y53" s="4"/>
      <c r="Z53" s="4"/>
      <c r="AA53" s="4"/>
      <c r="AB53" s="4"/>
      <c r="AC53" s="4"/>
      <c r="AD53" s="4"/>
      <c r="AE53" s="4"/>
      <c r="AF53" s="4"/>
      <c r="AG53" s="4"/>
    </row>
    <row r="54" spans="1:33" ht="15.6">
      <c r="A54" s="132" t="s">
        <v>626</v>
      </c>
      <c r="B54" s="132" t="s">
        <v>741</v>
      </c>
      <c r="C54" s="132" t="s">
        <v>766</v>
      </c>
      <c r="D54" s="132" t="s">
        <v>673</v>
      </c>
      <c r="E54" s="190" t="s">
        <v>674</v>
      </c>
      <c r="F54" s="132" t="s">
        <v>767</v>
      </c>
      <c r="G54" s="132"/>
      <c r="H54" s="132"/>
      <c r="I54" s="132"/>
      <c r="J54" s="132"/>
      <c r="K54" s="132"/>
      <c r="L54" s="132"/>
      <c r="M54" s="132"/>
      <c r="N54" s="132"/>
      <c r="O54" s="132"/>
      <c r="P54" s="132"/>
      <c r="Q54" s="132"/>
      <c r="R54" s="132"/>
      <c r="S54" s="4"/>
      <c r="T54" s="4"/>
      <c r="U54" s="4"/>
      <c r="V54" s="4"/>
      <c r="W54" s="4"/>
      <c r="X54" s="4"/>
      <c r="Y54" s="4"/>
      <c r="Z54" s="4"/>
      <c r="AA54" s="4"/>
      <c r="AB54" s="4"/>
      <c r="AC54" s="4"/>
      <c r="AD54" s="4"/>
      <c r="AE54" s="4"/>
      <c r="AF54" s="4"/>
      <c r="AG54" s="4"/>
    </row>
    <row r="55" spans="1:33" ht="15.6">
      <c r="A55" s="132" t="s">
        <v>626</v>
      </c>
      <c r="B55" s="132" t="s">
        <v>741</v>
      </c>
      <c r="C55" s="132" t="s">
        <v>768</v>
      </c>
      <c r="D55" s="132" t="s">
        <v>673</v>
      </c>
      <c r="E55" s="190" t="s">
        <v>674</v>
      </c>
      <c r="F55" s="132" t="s">
        <v>769</v>
      </c>
      <c r="G55" s="132"/>
      <c r="H55" s="132"/>
      <c r="I55" s="132"/>
      <c r="J55" s="132"/>
      <c r="K55" s="132"/>
      <c r="L55" s="132"/>
      <c r="M55" s="132"/>
      <c r="N55" s="132"/>
      <c r="O55" s="132"/>
      <c r="P55" s="132"/>
      <c r="Q55" s="132"/>
      <c r="R55" s="132"/>
      <c r="S55" s="4"/>
      <c r="T55" s="4"/>
      <c r="U55" s="4"/>
      <c r="V55" s="4"/>
      <c r="W55" s="4"/>
      <c r="X55" s="4"/>
      <c r="Y55" s="4"/>
      <c r="Z55" s="4"/>
      <c r="AA55" s="4"/>
      <c r="AB55" s="4"/>
      <c r="AC55" s="4"/>
      <c r="AD55" s="4"/>
      <c r="AE55" s="4"/>
      <c r="AF55" s="4"/>
      <c r="AG55" s="4"/>
    </row>
    <row r="56" spans="1:33" ht="15.6">
      <c r="A56" s="132" t="s">
        <v>626</v>
      </c>
      <c r="B56" s="132" t="s">
        <v>597</v>
      </c>
      <c r="C56" s="132" t="s">
        <v>770</v>
      </c>
      <c r="D56" s="132" t="s">
        <v>673</v>
      </c>
      <c r="E56" s="190" t="s">
        <v>674</v>
      </c>
      <c r="F56" s="132" t="s">
        <v>771</v>
      </c>
      <c r="G56" s="132"/>
      <c r="H56" s="132"/>
      <c r="I56" s="132"/>
      <c r="J56" s="132"/>
      <c r="K56" s="132"/>
      <c r="L56" s="132"/>
      <c r="M56" s="132"/>
      <c r="N56" s="132"/>
      <c r="O56" s="132"/>
      <c r="P56" s="132"/>
      <c r="Q56" s="132"/>
      <c r="R56" s="132"/>
      <c r="S56" s="4"/>
      <c r="T56" s="4"/>
      <c r="U56" s="4"/>
      <c r="V56" s="4"/>
      <c r="W56" s="4"/>
      <c r="X56" s="4"/>
      <c r="Y56" s="4"/>
      <c r="Z56" s="4"/>
      <c r="AA56" s="4"/>
      <c r="AB56" s="4"/>
      <c r="AC56" s="4"/>
      <c r="AD56" s="4"/>
      <c r="AE56" s="4"/>
      <c r="AF56" s="4"/>
      <c r="AG56" s="4"/>
    </row>
    <row r="57" spans="1:33" ht="15.6">
      <c r="A57" s="132" t="s">
        <v>626</v>
      </c>
      <c r="B57" s="132" t="s">
        <v>597</v>
      </c>
      <c r="C57" s="132" t="s">
        <v>772</v>
      </c>
      <c r="D57" s="132" t="s">
        <v>673</v>
      </c>
      <c r="E57" s="190" t="s">
        <v>674</v>
      </c>
      <c r="F57" s="132" t="s">
        <v>773</v>
      </c>
      <c r="G57" s="132"/>
      <c r="H57" s="132"/>
      <c r="I57" s="132"/>
      <c r="J57" s="132"/>
      <c r="K57" s="132"/>
      <c r="L57" s="132"/>
      <c r="M57" s="132"/>
      <c r="N57" s="132"/>
      <c r="O57" s="132"/>
      <c r="P57" s="132"/>
      <c r="Q57" s="132"/>
      <c r="R57" s="132"/>
      <c r="S57" s="4"/>
      <c r="T57" s="4"/>
      <c r="U57" s="4"/>
      <c r="V57" s="4"/>
      <c r="W57" s="4"/>
      <c r="X57" s="4"/>
      <c r="Y57" s="4"/>
      <c r="Z57" s="4"/>
      <c r="AA57" s="4"/>
      <c r="AB57" s="4"/>
      <c r="AC57" s="4"/>
      <c r="AD57" s="4"/>
      <c r="AE57" s="4"/>
      <c r="AF57" s="4"/>
      <c r="AG57" s="4"/>
    </row>
    <row r="58" spans="1:33" ht="15.6">
      <c r="A58" s="132" t="s">
        <v>626</v>
      </c>
      <c r="B58" s="132" t="s">
        <v>597</v>
      </c>
      <c r="C58" s="132" t="s">
        <v>774</v>
      </c>
      <c r="D58" s="132" t="s">
        <v>673</v>
      </c>
      <c r="E58" s="190" t="s">
        <v>674</v>
      </c>
      <c r="F58" s="132" t="s">
        <v>775</v>
      </c>
      <c r="G58" s="132"/>
      <c r="H58" s="132"/>
      <c r="I58" s="132"/>
      <c r="J58" s="132"/>
      <c r="K58" s="132"/>
      <c r="L58" s="132"/>
      <c r="M58" s="132"/>
      <c r="N58" s="132"/>
      <c r="O58" s="132"/>
      <c r="P58" s="132"/>
      <c r="Q58" s="132"/>
      <c r="R58" s="132"/>
      <c r="S58" s="4"/>
      <c r="T58" s="4"/>
      <c r="U58" s="4"/>
      <c r="V58" s="4"/>
      <c r="W58" s="4"/>
      <c r="X58" s="4"/>
      <c r="Y58" s="4"/>
      <c r="Z58" s="4"/>
      <c r="AA58" s="4"/>
      <c r="AB58" s="4"/>
      <c r="AC58" s="4"/>
      <c r="AD58" s="4"/>
      <c r="AE58" s="4"/>
      <c r="AF58" s="4"/>
      <c r="AG58" s="4"/>
    </row>
    <row r="59" spans="1:33" ht="15.6">
      <c r="A59" s="132" t="s">
        <v>626</v>
      </c>
      <c r="B59" s="132" t="s">
        <v>597</v>
      </c>
      <c r="C59" s="132" t="s">
        <v>776</v>
      </c>
      <c r="D59" s="132" t="s">
        <v>673</v>
      </c>
      <c r="E59" s="190" t="s">
        <v>674</v>
      </c>
      <c r="F59" s="132" t="s">
        <v>773</v>
      </c>
      <c r="G59" s="132"/>
      <c r="H59" s="132"/>
      <c r="I59" s="132"/>
      <c r="J59" s="132"/>
      <c r="K59" s="132"/>
      <c r="L59" s="132"/>
      <c r="M59" s="132"/>
      <c r="N59" s="132"/>
      <c r="O59" s="132"/>
      <c r="P59" s="132"/>
      <c r="Q59" s="132"/>
      <c r="R59" s="132"/>
      <c r="S59" s="4"/>
      <c r="T59" s="4"/>
      <c r="U59" s="4"/>
      <c r="V59" s="4"/>
      <c r="W59" s="4"/>
      <c r="X59" s="4"/>
      <c r="Y59" s="4"/>
      <c r="Z59" s="4"/>
      <c r="AA59" s="4"/>
      <c r="AB59" s="4"/>
      <c r="AC59" s="4"/>
      <c r="AD59" s="4"/>
      <c r="AE59" s="4"/>
      <c r="AF59" s="4"/>
      <c r="AG59" s="4"/>
    </row>
    <row r="60" spans="1:33" ht="15.6">
      <c r="A60" s="132" t="s">
        <v>626</v>
      </c>
      <c r="B60" s="132" t="s">
        <v>597</v>
      </c>
      <c r="C60" s="132" t="s">
        <v>777</v>
      </c>
      <c r="D60" s="132" t="s">
        <v>673</v>
      </c>
      <c r="E60" s="190" t="s">
        <v>674</v>
      </c>
      <c r="F60" s="132" t="s">
        <v>778</v>
      </c>
      <c r="G60" s="132"/>
      <c r="H60" s="132"/>
      <c r="I60" s="132"/>
      <c r="J60" s="132"/>
      <c r="K60" s="132"/>
      <c r="L60" s="132"/>
      <c r="M60" s="132"/>
      <c r="N60" s="132"/>
      <c r="O60" s="132"/>
      <c r="P60" s="132"/>
      <c r="Q60" s="132"/>
      <c r="R60" s="132"/>
      <c r="S60" s="4"/>
      <c r="T60" s="4"/>
      <c r="U60" s="4"/>
      <c r="V60" s="4"/>
      <c r="W60" s="4"/>
      <c r="X60" s="4"/>
      <c r="Y60" s="4"/>
      <c r="Z60" s="4"/>
      <c r="AA60" s="4"/>
      <c r="AB60" s="4"/>
      <c r="AC60" s="4"/>
      <c r="AD60" s="4"/>
      <c r="AE60" s="4"/>
      <c r="AF60" s="4"/>
      <c r="AG60" s="4"/>
    </row>
    <row r="61" spans="1:33" ht="15.6">
      <c r="A61" s="132" t="s">
        <v>626</v>
      </c>
      <c r="B61" s="132" t="s">
        <v>597</v>
      </c>
      <c r="C61" s="132" t="s">
        <v>779</v>
      </c>
      <c r="D61" s="132" t="s">
        <v>673</v>
      </c>
      <c r="E61" s="190" t="s">
        <v>674</v>
      </c>
      <c r="F61" s="132" t="s">
        <v>780</v>
      </c>
      <c r="G61" s="132"/>
      <c r="H61" s="132"/>
      <c r="I61" s="132"/>
      <c r="J61" s="132"/>
      <c r="K61" s="132"/>
      <c r="L61" s="132"/>
      <c r="M61" s="132"/>
      <c r="N61" s="132"/>
      <c r="O61" s="132"/>
      <c r="P61" s="132"/>
      <c r="Q61" s="132"/>
      <c r="R61" s="132"/>
      <c r="S61" s="4"/>
      <c r="T61" s="4"/>
      <c r="U61" s="4"/>
      <c r="V61" s="4"/>
      <c r="W61" s="4"/>
      <c r="X61" s="4"/>
      <c r="Y61" s="4"/>
      <c r="Z61" s="4"/>
      <c r="AA61" s="4"/>
      <c r="AB61" s="4"/>
      <c r="AC61" s="4"/>
      <c r="AD61" s="4"/>
      <c r="AE61" s="4"/>
      <c r="AF61" s="4"/>
      <c r="AG61" s="4"/>
    </row>
    <row r="62" spans="1:33" ht="15.6">
      <c r="A62" s="132" t="s">
        <v>626</v>
      </c>
      <c r="B62" s="132" t="s">
        <v>597</v>
      </c>
      <c r="C62" s="132" t="s">
        <v>781</v>
      </c>
      <c r="D62" s="132" t="s">
        <v>673</v>
      </c>
      <c r="E62" s="190" t="s">
        <v>674</v>
      </c>
      <c r="F62" s="132" t="s">
        <v>782</v>
      </c>
      <c r="G62" s="132"/>
      <c r="H62" s="132"/>
      <c r="I62" s="132"/>
      <c r="J62" s="132"/>
      <c r="K62" s="132"/>
      <c r="L62" s="132"/>
      <c r="M62" s="132"/>
      <c r="N62" s="132"/>
      <c r="O62" s="132"/>
      <c r="P62" s="132"/>
      <c r="Q62" s="132"/>
      <c r="R62" s="132"/>
      <c r="S62" s="4"/>
      <c r="T62" s="4"/>
      <c r="U62" s="4"/>
      <c r="V62" s="4"/>
      <c r="W62" s="4"/>
      <c r="X62" s="4"/>
      <c r="Y62" s="4"/>
      <c r="Z62" s="4"/>
      <c r="AA62" s="4"/>
      <c r="AB62" s="4"/>
      <c r="AC62" s="4"/>
      <c r="AD62" s="4"/>
      <c r="AE62" s="4"/>
      <c r="AF62" s="4"/>
      <c r="AG62" s="4"/>
    </row>
    <row r="63" spans="1:33" ht="15.6">
      <c r="A63" s="132" t="s">
        <v>626</v>
      </c>
      <c r="B63" s="132" t="s">
        <v>671</v>
      </c>
      <c r="C63" s="132" t="s">
        <v>783</v>
      </c>
      <c r="D63" s="132" t="s">
        <v>784</v>
      </c>
      <c r="E63" s="190" t="s">
        <v>785</v>
      </c>
      <c r="F63" s="132" t="s">
        <v>786</v>
      </c>
      <c r="G63" s="132"/>
      <c r="H63" s="132"/>
      <c r="I63" s="132"/>
      <c r="J63" s="132"/>
      <c r="K63" s="132"/>
      <c r="L63" s="132"/>
      <c r="M63" s="132"/>
      <c r="N63" s="132"/>
      <c r="O63" s="132"/>
      <c r="P63" s="132"/>
      <c r="Q63" s="132"/>
      <c r="R63" s="132"/>
      <c r="S63" s="4"/>
      <c r="T63" s="4"/>
      <c r="U63" s="4"/>
      <c r="V63" s="4"/>
      <c r="W63" s="4"/>
      <c r="X63" s="4"/>
      <c r="Y63" s="4"/>
      <c r="Z63" s="4"/>
      <c r="AA63" s="4"/>
      <c r="AB63" s="4"/>
      <c r="AC63" s="4"/>
      <c r="AD63" s="4"/>
      <c r="AE63" s="4"/>
      <c r="AF63" s="4"/>
      <c r="AG63" s="4"/>
    </row>
    <row r="64" spans="1:33" ht="15.6">
      <c r="A64" s="132" t="s">
        <v>629</v>
      </c>
      <c r="B64" s="132" t="s">
        <v>671</v>
      </c>
      <c r="C64" s="132" t="s">
        <v>787</v>
      </c>
      <c r="D64" s="132" t="s">
        <v>784</v>
      </c>
      <c r="E64" s="190" t="s">
        <v>788</v>
      </c>
      <c r="F64" s="132" t="s">
        <v>786</v>
      </c>
      <c r="G64" s="132"/>
      <c r="H64" s="132"/>
      <c r="I64" s="132"/>
      <c r="J64" s="132"/>
      <c r="K64" s="132"/>
      <c r="L64" s="132"/>
      <c r="M64" s="132"/>
      <c r="N64" s="132"/>
      <c r="O64" s="132"/>
      <c r="P64" s="132"/>
      <c r="Q64" s="132"/>
      <c r="R64" s="132"/>
      <c r="S64" s="4"/>
      <c r="T64" s="4"/>
      <c r="U64" s="4"/>
      <c r="V64" s="4"/>
      <c r="W64" s="4"/>
      <c r="X64" s="4"/>
      <c r="Y64" s="4"/>
      <c r="Z64" s="4"/>
      <c r="AA64" s="4"/>
      <c r="AB64" s="4"/>
      <c r="AC64" s="4"/>
      <c r="AD64" s="4"/>
      <c r="AE64" s="4"/>
      <c r="AF64" s="4"/>
      <c r="AG64" s="4"/>
    </row>
    <row r="65" spans="1:33" ht="15.6">
      <c r="A65" s="132" t="s">
        <v>629</v>
      </c>
      <c r="B65" s="132" t="s">
        <v>671</v>
      </c>
      <c r="C65" s="132" t="s">
        <v>789</v>
      </c>
      <c r="D65" s="132" t="s">
        <v>784</v>
      </c>
      <c r="E65" s="190" t="s">
        <v>790</v>
      </c>
      <c r="F65" s="132" t="s">
        <v>786</v>
      </c>
      <c r="G65" s="132"/>
      <c r="H65" s="132"/>
      <c r="I65" s="132"/>
      <c r="J65" s="132"/>
      <c r="K65" s="132"/>
      <c r="L65" s="132"/>
      <c r="M65" s="132"/>
      <c r="N65" s="132"/>
      <c r="O65" s="132"/>
      <c r="P65" s="132"/>
      <c r="Q65" s="132"/>
      <c r="R65" s="132"/>
      <c r="S65" s="4"/>
      <c r="T65" s="4"/>
      <c r="U65" s="4"/>
      <c r="V65" s="4"/>
      <c r="W65" s="4"/>
      <c r="X65" s="4"/>
      <c r="Y65" s="4"/>
      <c r="Z65" s="4"/>
      <c r="AA65" s="4"/>
      <c r="AB65" s="4"/>
      <c r="AC65" s="4"/>
      <c r="AD65" s="4"/>
      <c r="AE65" s="4"/>
      <c r="AF65" s="4"/>
      <c r="AG65" s="4"/>
    </row>
    <row r="66" spans="1:33" ht="15.6">
      <c r="A66" s="132" t="s">
        <v>629</v>
      </c>
      <c r="B66" s="132" t="s">
        <v>671</v>
      </c>
      <c r="C66" s="132" t="s">
        <v>791</v>
      </c>
      <c r="D66" s="132" t="s">
        <v>784</v>
      </c>
      <c r="E66" s="190" t="s">
        <v>792</v>
      </c>
      <c r="F66" s="132" t="s">
        <v>793</v>
      </c>
      <c r="G66" s="132"/>
      <c r="H66" s="132"/>
      <c r="I66" s="132"/>
      <c r="J66" s="132"/>
      <c r="K66" s="132"/>
      <c r="L66" s="132"/>
      <c r="M66" s="132"/>
      <c r="N66" s="132"/>
      <c r="O66" s="132"/>
      <c r="P66" s="132"/>
      <c r="Q66" s="132"/>
      <c r="R66" s="132"/>
      <c r="S66" s="4"/>
      <c r="T66" s="4"/>
      <c r="U66" s="4"/>
      <c r="V66" s="4"/>
      <c r="W66" s="4"/>
      <c r="X66" s="4"/>
      <c r="Y66" s="4"/>
      <c r="Z66" s="4"/>
      <c r="AA66" s="4"/>
      <c r="AB66" s="4"/>
      <c r="AC66" s="4"/>
      <c r="AD66" s="4"/>
      <c r="AE66" s="4"/>
      <c r="AF66" s="4"/>
      <c r="AG66" s="4"/>
    </row>
    <row r="67" spans="1:33" ht="15.6">
      <c r="A67" s="132" t="s">
        <v>629</v>
      </c>
      <c r="B67" s="132" t="s">
        <v>671</v>
      </c>
      <c r="C67" s="132" t="s">
        <v>794</v>
      </c>
      <c r="D67" s="132" t="s">
        <v>784</v>
      </c>
      <c r="E67" s="190" t="s">
        <v>795</v>
      </c>
      <c r="F67" s="132" t="s">
        <v>796</v>
      </c>
      <c r="G67" s="132"/>
      <c r="H67" s="132"/>
      <c r="I67" s="132"/>
      <c r="J67" s="132"/>
      <c r="K67" s="132"/>
      <c r="L67" s="132"/>
      <c r="M67" s="132"/>
      <c r="N67" s="132"/>
      <c r="O67" s="132"/>
      <c r="P67" s="132"/>
      <c r="Q67" s="132"/>
      <c r="R67" s="132"/>
      <c r="S67" s="4"/>
      <c r="T67" s="4"/>
      <c r="U67" s="4"/>
      <c r="V67" s="4"/>
      <c r="W67" s="4"/>
      <c r="X67" s="4"/>
      <c r="Y67" s="4"/>
      <c r="Z67" s="4"/>
      <c r="AA67" s="4"/>
      <c r="AB67" s="4"/>
      <c r="AC67" s="4"/>
      <c r="AD67" s="4"/>
      <c r="AE67" s="4"/>
      <c r="AF67" s="4"/>
      <c r="AG67" s="4"/>
    </row>
    <row r="68" spans="1:33" ht="15.6">
      <c r="A68" s="132" t="s">
        <v>629</v>
      </c>
      <c r="B68" s="132" t="s">
        <v>671</v>
      </c>
      <c r="C68" s="132" t="s">
        <v>797</v>
      </c>
      <c r="D68" s="132" t="s">
        <v>784</v>
      </c>
      <c r="E68" s="190" t="s">
        <v>798</v>
      </c>
      <c r="F68" s="132" t="s">
        <v>799</v>
      </c>
      <c r="G68" s="132"/>
      <c r="H68" s="132"/>
      <c r="I68" s="132"/>
      <c r="J68" s="132"/>
      <c r="K68" s="132"/>
      <c r="L68" s="132"/>
      <c r="M68" s="132"/>
      <c r="N68" s="132"/>
      <c r="O68" s="132"/>
      <c r="P68" s="132"/>
      <c r="Q68" s="132"/>
      <c r="R68" s="132"/>
      <c r="S68" s="4"/>
      <c r="T68" s="4"/>
      <c r="U68" s="4"/>
      <c r="V68" s="4"/>
      <c r="W68" s="4"/>
      <c r="X68" s="4"/>
      <c r="Y68" s="4"/>
      <c r="Z68" s="4"/>
      <c r="AA68" s="4"/>
      <c r="AB68" s="4"/>
      <c r="AC68" s="4"/>
      <c r="AD68" s="4"/>
      <c r="AE68" s="4"/>
      <c r="AF68" s="4"/>
      <c r="AG68" s="4"/>
    </row>
    <row r="69" spans="1:33" ht="15.6">
      <c r="A69" s="132" t="s">
        <v>629</v>
      </c>
      <c r="B69" s="132" t="s">
        <v>671</v>
      </c>
      <c r="C69" s="132" t="s">
        <v>800</v>
      </c>
      <c r="D69" s="132" t="s">
        <v>784</v>
      </c>
      <c r="E69" s="190" t="s">
        <v>801</v>
      </c>
      <c r="F69" s="132" t="s">
        <v>802</v>
      </c>
      <c r="G69" s="132"/>
      <c r="H69" s="132"/>
      <c r="I69" s="132"/>
      <c r="J69" s="132"/>
      <c r="K69" s="132"/>
      <c r="L69" s="132"/>
      <c r="M69" s="132"/>
      <c r="N69" s="132"/>
      <c r="O69" s="132"/>
      <c r="P69" s="132"/>
      <c r="Q69" s="132"/>
      <c r="R69" s="132"/>
      <c r="S69" s="4"/>
      <c r="T69" s="4"/>
      <c r="U69" s="4"/>
      <c r="V69" s="4"/>
      <c r="W69" s="4"/>
      <c r="X69" s="4"/>
      <c r="Y69" s="4"/>
      <c r="Z69" s="4"/>
      <c r="AA69" s="4"/>
      <c r="AB69" s="4"/>
      <c r="AC69" s="4"/>
      <c r="AD69" s="4"/>
      <c r="AE69" s="4"/>
      <c r="AF69" s="4"/>
      <c r="AG69" s="4"/>
    </row>
    <row r="70" spans="1:33" ht="15.6">
      <c r="A70" s="132" t="s">
        <v>629</v>
      </c>
      <c r="B70" s="132" t="s">
        <v>671</v>
      </c>
      <c r="C70" s="132" t="s">
        <v>803</v>
      </c>
      <c r="D70" s="132" t="s">
        <v>784</v>
      </c>
      <c r="E70" s="190" t="s">
        <v>804</v>
      </c>
      <c r="F70" s="132" t="s">
        <v>805</v>
      </c>
      <c r="G70" s="132"/>
      <c r="H70" s="132"/>
      <c r="I70" s="132"/>
      <c r="J70" s="132"/>
      <c r="K70" s="132"/>
      <c r="L70" s="132"/>
      <c r="M70" s="132"/>
      <c r="N70" s="132"/>
      <c r="O70" s="132"/>
      <c r="P70" s="132"/>
      <c r="Q70" s="132"/>
      <c r="R70" s="132"/>
      <c r="S70" s="4"/>
      <c r="T70" s="4"/>
      <c r="U70" s="4"/>
      <c r="V70" s="4"/>
      <c r="W70" s="4"/>
      <c r="X70" s="4"/>
      <c r="Y70" s="4"/>
      <c r="Z70" s="4"/>
      <c r="AA70" s="4"/>
      <c r="AB70" s="4"/>
      <c r="AC70" s="4"/>
      <c r="AD70" s="4"/>
      <c r="AE70" s="4"/>
      <c r="AF70" s="4"/>
      <c r="AG70" s="4"/>
    </row>
    <row r="71" spans="1:33" ht="15.6">
      <c r="A71" s="132" t="s">
        <v>629</v>
      </c>
      <c r="B71" s="132" t="s">
        <v>671</v>
      </c>
      <c r="C71" s="132" t="s">
        <v>806</v>
      </c>
      <c r="D71" s="132" t="s">
        <v>784</v>
      </c>
      <c r="E71" s="190" t="s">
        <v>807</v>
      </c>
      <c r="F71" s="132" t="s">
        <v>808</v>
      </c>
      <c r="G71" s="132"/>
      <c r="H71" s="132"/>
      <c r="I71" s="132"/>
      <c r="J71" s="132"/>
      <c r="K71" s="132"/>
      <c r="L71" s="132"/>
      <c r="M71" s="132"/>
      <c r="N71" s="132"/>
      <c r="O71" s="132"/>
      <c r="P71" s="132"/>
      <c r="Q71" s="132"/>
      <c r="R71" s="132"/>
      <c r="S71" s="4"/>
      <c r="T71" s="4"/>
      <c r="U71" s="4"/>
      <c r="V71" s="4"/>
      <c r="W71" s="4"/>
      <c r="X71" s="4"/>
      <c r="Y71" s="4"/>
      <c r="Z71" s="4"/>
      <c r="AA71" s="4"/>
      <c r="AB71" s="4"/>
      <c r="AC71" s="4"/>
      <c r="AD71" s="4"/>
      <c r="AE71" s="4"/>
      <c r="AF71" s="4"/>
      <c r="AG71" s="4"/>
    </row>
    <row r="72" spans="1:33" ht="15.6">
      <c r="A72" s="132" t="s">
        <v>629</v>
      </c>
      <c r="B72" s="132" t="s">
        <v>671</v>
      </c>
      <c r="C72" s="132" t="s">
        <v>809</v>
      </c>
      <c r="D72" s="132" t="s">
        <v>784</v>
      </c>
      <c r="E72" s="190" t="s">
        <v>810</v>
      </c>
      <c r="F72" s="132" t="s">
        <v>811</v>
      </c>
      <c r="G72" s="132"/>
      <c r="H72" s="132"/>
      <c r="I72" s="132"/>
      <c r="J72" s="132"/>
      <c r="K72" s="132"/>
      <c r="L72" s="132"/>
      <c r="M72" s="132"/>
      <c r="N72" s="132"/>
      <c r="O72" s="132"/>
      <c r="P72" s="132"/>
      <c r="Q72" s="132"/>
      <c r="R72" s="132"/>
      <c r="S72" s="4"/>
      <c r="T72" s="4"/>
      <c r="U72" s="4"/>
      <c r="V72" s="4"/>
      <c r="W72" s="4"/>
      <c r="X72" s="4"/>
      <c r="Y72" s="4"/>
      <c r="Z72" s="4"/>
      <c r="AA72" s="4"/>
      <c r="AB72" s="4"/>
      <c r="AC72" s="4"/>
      <c r="AD72" s="4"/>
      <c r="AE72" s="4"/>
      <c r="AF72" s="4"/>
      <c r="AG72" s="4"/>
    </row>
    <row r="73" spans="1:33" ht="15.6">
      <c r="A73" s="132" t="s">
        <v>629</v>
      </c>
      <c r="B73" s="132" t="s">
        <v>671</v>
      </c>
      <c r="C73" s="132" t="s">
        <v>812</v>
      </c>
      <c r="D73" s="132" t="s">
        <v>784</v>
      </c>
      <c r="E73" s="190" t="s">
        <v>813</v>
      </c>
      <c r="F73" s="132" t="s">
        <v>814</v>
      </c>
      <c r="G73" s="132"/>
      <c r="H73" s="132"/>
      <c r="I73" s="132"/>
      <c r="J73" s="132"/>
      <c r="K73" s="132"/>
      <c r="L73" s="132"/>
      <c r="M73" s="132"/>
      <c r="N73" s="132"/>
      <c r="O73" s="132"/>
      <c r="P73" s="132"/>
      <c r="Q73" s="132"/>
      <c r="R73" s="132"/>
      <c r="S73" s="4"/>
      <c r="T73" s="4"/>
      <c r="U73" s="4"/>
      <c r="V73" s="4"/>
      <c r="W73" s="4"/>
      <c r="X73" s="4"/>
      <c r="Y73" s="4"/>
      <c r="Z73" s="4"/>
      <c r="AA73" s="4"/>
      <c r="AB73" s="4"/>
      <c r="AC73" s="4"/>
      <c r="AD73" s="4"/>
      <c r="AE73" s="4"/>
      <c r="AF73" s="4"/>
      <c r="AG73" s="4"/>
    </row>
    <row r="74" spans="1:33" ht="15.6">
      <c r="A74" s="132" t="s">
        <v>629</v>
      </c>
      <c r="B74" s="132" t="s">
        <v>671</v>
      </c>
      <c r="C74" s="132" t="s">
        <v>815</v>
      </c>
      <c r="D74" s="132" t="s">
        <v>784</v>
      </c>
      <c r="E74" s="190" t="s">
        <v>816</v>
      </c>
      <c r="F74" s="132" t="s">
        <v>817</v>
      </c>
      <c r="G74" s="132"/>
      <c r="H74" s="132"/>
      <c r="I74" s="132"/>
      <c r="J74" s="132"/>
      <c r="K74" s="132"/>
      <c r="L74" s="132"/>
      <c r="M74" s="132"/>
      <c r="N74" s="132"/>
      <c r="O74" s="132"/>
      <c r="P74" s="132"/>
      <c r="Q74" s="132"/>
      <c r="R74" s="132"/>
      <c r="S74" s="4"/>
      <c r="T74" s="4"/>
      <c r="U74" s="4"/>
      <c r="V74" s="4"/>
      <c r="W74" s="4"/>
      <c r="X74" s="4"/>
      <c r="Y74" s="4"/>
      <c r="Z74" s="4"/>
      <c r="AA74" s="4"/>
      <c r="AB74" s="4"/>
      <c r="AC74" s="4"/>
      <c r="AD74" s="4"/>
      <c r="AE74" s="4"/>
      <c r="AF74" s="4"/>
      <c r="AG74" s="4"/>
    </row>
    <row r="75" spans="1:33" ht="15.6">
      <c r="A75" s="132" t="s">
        <v>629</v>
      </c>
      <c r="B75" s="132" t="s">
        <v>671</v>
      </c>
      <c r="C75" s="132" t="s">
        <v>818</v>
      </c>
      <c r="D75" s="132" t="s">
        <v>784</v>
      </c>
      <c r="E75" s="190" t="s">
        <v>819</v>
      </c>
      <c r="F75" s="132" t="s">
        <v>820</v>
      </c>
      <c r="G75" s="132"/>
      <c r="H75" s="132"/>
      <c r="I75" s="132"/>
      <c r="J75" s="132"/>
      <c r="K75" s="132"/>
      <c r="L75" s="132"/>
      <c r="M75" s="132"/>
      <c r="N75" s="132"/>
      <c r="O75" s="132"/>
      <c r="P75" s="132"/>
      <c r="Q75" s="132"/>
      <c r="R75" s="132"/>
      <c r="S75" s="4"/>
      <c r="T75" s="4"/>
      <c r="U75" s="4"/>
      <c r="V75" s="4"/>
      <c r="W75" s="4"/>
      <c r="X75" s="4"/>
      <c r="Y75" s="4"/>
      <c r="Z75" s="4"/>
      <c r="AA75" s="4"/>
      <c r="AB75" s="4"/>
      <c r="AC75" s="4"/>
      <c r="AD75" s="4"/>
      <c r="AE75" s="4"/>
      <c r="AF75" s="4"/>
      <c r="AG75" s="4"/>
    </row>
    <row r="76" spans="1:33" ht="15.6">
      <c r="A76" s="132" t="s">
        <v>629</v>
      </c>
      <c r="B76" s="132" t="s">
        <v>671</v>
      </c>
      <c r="C76" s="132" t="s">
        <v>821</v>
      </c>
      <c r="D76" s="132" t="s">
        <v>784</v>
      </c>
      <c r="E76" s="190" t="s">
        <v>822</v>
      </c>
      <c r="F76" s="132" t="s">
        <v>823</v>
      </c>
      <c r="G76" s="132"/>
      <c r="H76" s="132"/>
      <c r="I76" s="132"/>
      <c r="J76" s="132"/>
      <c r="K76" s="132"/>
      <c r="L76" s="132"/>
      <c r="M76" s="132"/>
      <c r="N76" s="132"/>
      <c r="O76" s="132"/>
      <c r="P76" s="132"/>
      <c r="Q76" s="132"/>
      <c r="R76" s="132"/>
      <c r="S76" s="4"/>
      <c r="T76" s="4"/>
      <c r="U76" s="4"/>
      <c r="V76" s="4"/>
      <c r="W76" s="4"/>
      <c r="X76" s="4"/>
      <c r="Y76" s="4"/>
      <c r="Z76" s="4"/>
      <c r="AA76" s="4"/>
      <c r="AB76" s="4"/>
      <c r="AC76" s="4"/>
      <c r="AD76" s="4"/>
      <c r="AE76" s="4"/>
      <c r="AF76" s="4"/>
      <c r="AG76" s="4"/>
    </row>
    <row r="77" spans="1:33" ht="15.6">
      <c r="A77" s="132" t="s">
        <v>629</v>
      </c>
      <c r="B77" s="132" t="s">
        <v>671</v>
      </c>
      <c r="C77" s="132" t="s">
        <v>824</v>
      </c>
      <c r="D77" s="132" t="s">
        <v>784</v>
      </c>
      <c r="E77" s="190" t="s">
        <v>825</v>
      </c>
      <c r="F77" s="132" t="s">
        <v>826</v>
      </c>
      <c r="G77" s="132"/>
      <c r="H77" s="132"/>
      <c r="I77" s="132"/>
      <c r="J77" s="132"/>
      <c r="K77" s="132"/>
      <c r="L77" s="132"/>
      <c r="M77" s="132"/>
      <c r="N77" s="132"/>
      <c r="O77" s="132"/>
      <c r="P77" s="132"/>
      <c r="Q77" s="132"/>
      <c r="R77" s="132"/>
      <c r="S77" s="4"/>
      <c r="T77" s="4"/>
      <c r="U77" s="4"/>
      <c r="V77" s="4"/>
      <c r="W77" s="4"/>
      <c r="X77" s="4"/>
      <c r="Y77" s="4"/>
      <c r="Z77" s="4"/>
      <c r="AA77" s="4"/>
      <c r="AB77" s="4"/>
      <c r="AC77" s="4"/>
      <c r="AD77" s="4"/>
      <c r="AE77" s="4"/>
      <c r="AF77" s="4"/>
      <c r="AG77" s="4"/>
    </row>
    <row r="78" spans="1:33" ht="15.6">
      <c r="A78" s="132" t="s">
        <v>629</v>
      </c>
      <c r="B78" s="132" t="s">
        <v>21</v>
      </c>
      <c r="C78" s="132" t="s">
        <v>827</v>
      </c>
      <c r="D78" s="132" t="s">
        <v>828</v>
      </c>
      <c r="E78" s="190" t="s">
        <v>829</v>
      </c>
      <c r="F78" s="132" t="s">
        <v>830</v>
      </c>
      <c r="G78" s="132"/>
      <c r="H78" s="132"/>
      <c r="I78" s="132"/>
      <c r="J78" s="132"/>
      <c r="K78" s="132"/>
      <c r="L78" s="132"/>
      <c r="M78" s="132"/>
      <c r="N78" s="132"/>
      <c r="O78" s="132"/>
      <c r="P78" s="132"/>
      <c r="Q78" s="132"/>
      <c r="R78" s="132"/>
      <c r="S78" s="4"/>
      <c r="T78" s="4"/>
      <c r="U78" s="4"/>
      <c r="V78" s="4"/>
      <c r="W78" s="4"/>
      <c r="X78" s="4"/>
      <c r="Y78" s="4"/>
      <c r="Z78" s="4"/>
      <c r="AA78" s="4"/>
      <c r="AB78" s="4"/>
      <c r="AC78" s="4"/>
      <c r="AD78" s="4"/>
      <c r="AE78" s="4"/>
      <c r="AF78" s="4"/>
      <c r="AG78" s="4"/>
    </row>
    <row r="79" spans="1:33" ht="15.6">
      <c r="A79" s="132" t="s">
        <v>629</v>
      </c>
      <c r="B79" s="132" t="s">
        <v>601</v>
      </c>
      <c r="C79" s="132" t="s">
        <v>831</v>
      </c>
      <c r="D79" s="132" t="s">
        <v>828</v>
      </c>
      <c r="E79" s="190" t="s">
        <v>832</v>
      </c>
      <c r="F79" s="132" t="s">
        <v>833</v>
      </c>
      <c r="G79" s="132"/>
      <c r="H79" s="132"/>
      <c r="I79" s="132"/>
      <c r="J79" s="132"/>
      <c r="K79" s="132"/>
      <c r="L79" s="132"/>
      <c r="M79" s="132"/>
      <c r="N79" s="132"/>
      <c r="O79" s="132"/>
      <c r="P79" s="132"/>
      <c r="Q79" s="132"/>
      <c r="R79" s="132"/>
      <c r="S79" s="4"/>
      <c r="T79" s="4"/>
      <c r="U79" s="4"/>
      <c r="V79" s="4"/>
      <c r="W79" s="4"/>
      <c r="X79" s="4"/>
      <c r="Y79" s="4"/>
      <c r="Z79" s="4"/>
      <c r="AA79" s="4"/>
      <c r="AB79" s="4"/>
      <c r="AC79" s="4"/>
      <c r="AD79" s="4"/>
      <c r="AE79" s="4"/>
      <c r="AF79" s="4"/>
      <c r="AG79" s="4"/>
    </row>
    <row r="80" spans="1:33" ht="15.6">
      <c r="A80" s="132" t="s">
        <v>629</v>
      </c>
      <c r="B80" s="132" t="s">
        <v>22</v>
      </c>
      <c r="C80" s="132" t="s">
        <v>827</v>
      </c>
      <c r="D80" s="132" t="s">
        <v>828</v>
      </c>
      <c r="E80" s="190" t="s">
        <v>834</v>
      </c>
      <c r="F80" s="132" t="s">
        <v>833</v>
      </c>
      <c r="G80" s="132"/>
      <c r="H80" s="132"/>
      <c r="I80" s="132"/>
      <c r="J80" s="132"/>
      <c r="K80" s="132"/>
      <c r="L80" s="132"/>
      <c r="M80" s="132"/>
      <c r="N80" s="132"/>
      <c r="O80" s="132"/>
      <c r="P80" s="132"/>
      <c r="Q80" s="132"/>
      <c r="R80" s="132"/>
      <c r="S80" s="4"/>
      <c r="T80" s="4"/>
      <c r="U80" s="4"/>
      <c r="V80" s="4"/>
      <c r="W80" s="4"/>
      <c r="X80" s="4"/>
      <c r="Y80" s="4"/>
      <c r="Z80" s="4"/>
      <c r="AA80" s="4"/>
      <c r="AB80" s="4"/>
      <c r="AC80" s="4"/>
      <c r="AD80" s="4"/>
      <c r="AE80" s="4"/>
      <c r="AF80" s="4"/>
      <c r="AG80" s="4"/>
    </row>
    <row r="81" spans="1:33" ht="15.6">
      <c r="A81" s="132" t="s">
        <v>629</v>
      </c>
      <c r="B81" s="132" t="s">
        <v>671</v>
      </c>
      <c r="C81" s="132" t="s">
        <v>835</v>
      </c>
      <c r="D81" s="132" t="s">
        <v>828</v>
      </c>
      <c r="E81" s="190" t="s">
        <v>836</v>
      </c>
      <c r="F81" s="132" t="s">
        <v>837</v>
      </c>
      <c r="G81" s="132"/>
      <c r="H81" s="132"/>
      <c r="I81" s="132"/>
      <c r="J81" s="132"/>
      <c r="K81" s="132"/>
      <c r="L81" s="132"/>
      <c r="M81" s="132"/>
      <c r="N81" s="132"/>
      <c r="O81" s="132"/>
      <c r="P81" s="132"/>
      <c r="Q81" s="132"/>
      <c r="R81" s="132"/>
      <c r="S81" s="4"/>
      <c r="T81" s="4"/>
      <c r="U81" s="4"/>
      <c r="V81" s="4"/>
      <c r="W81" s="4"/>
      <c r="X81" s="4"/>
      <c r="Y81" s="4"/>
      <c r="Z81" s="4"/>
      <c r="AA81" s="4"/>
      <c r="AB81" s="4"/>
      <c r="AC81" s="4"/>
      <c r="AD81" s="4"/>
      <c r="AE81" s="4"/>
      <c r="AF81" s="4"/>
      <c r="AG81" s="4"/>
    </row>
    <row r="82" spans="1:33" ht="15.6">
      <c r="A82" s="132" t="s">
        <v>629</v>
      </c>
      <c r="B82" s="132" t="s">
        <v>671</v>
      </c>
      <c r="C82" s="132" t="s">
        <v>838</v>
      </c>
      <c r="D82" s="132" t="s">
        <v>839</v>
      </c>
      <c r="E82" s="190" t="s">
        <v>840</v>
      </c>
      <c r="F82" s="132" t="s">
        <v>841</v>
      </c>
      <c r="G82" s="132"/>
      <c r="H82" s="132"/>
      <c r="I82" s="132"/>
      <c r="J82" s="132"/>
      <c r="K82" s="132"/>
      <c r="L82" s="132"/>
      <c r="M82" s="132"/>
      <c r="N82" s="132"/>
      <c r="O82" s="132"/>
      <c r="P82" s="132"/>
      <c r="Q82" s="132"/>
      <c r="R82" s="132"/>
      <c r="S82" s="4"/>
      <c r="T82" s="4"/>
      <c r="U82" s="4"/>
      <c r="V82" s="4"/>
      <c r="W82" s="4"/>
      <c r="X82" s="4"/>
      <c r="Y82" s="4"/>
      <c r="Z82" s="4"/>
      <c r="AA82" s="4"/>
      <c r="AB82" s="4"/>
      <c r="AC82" s="4"/>
      <c r="AD82" s="4"/>
      <c r="AE82" s="4"/>
      <c r="AF82" s="4"/>
      <c r="AG82" s="4"/>
    </row>
    <row r="83" spans="1:33" ht="15.9" customHeight="1">
      <c r="A83" s="132" t="s">
        <v>842</v>
      </c>
      <c r="B83" s="132" t="s">
        <v>671</v>
      </c>
      <c r="C83" s="132" t="s">
        <v>843</v>
      </c>
      <c r="D83" s="132" t="s">
        <v>839</v>
      </c>
      <c r="E83" s="190" t="s">
        <v>844</v>
      </c>
      <c r="F83" s="132" t="s">
        <v>845</v>
      </c>
      <c r="G83" s="132"/>
      <c r="H83" s="132"/>
      <c r="I83" s="132"/>
      <c r="J83" s="132"/>
      <c r="K83" s="132"/>
      <c r="L83" s="132"/>
      <c r="M83" s="132"/>
      <c r="N83" s="132"/>
      <c r="O83" s="132"/>
      <c r="P83" s="132"/>
      <c r="Q83" s="132"/>
      <c r="R83" s="132"/>
      <c r="S83" s="4"/>
      <c r="T83" s="4"/>
      <c r="U83" s="4"/>
      <c r="V83" s="4"/>
      <c r="W83" s="4"/>
      <c r="X83" s="4"/>
      <c r="Y83" s="4"/>
      <c r="Z83" s="4"/>
      <c r="AA83" s="4"/>
      <c r="AB83" s="4"/>
      <c r="AC83" s="4"/>
      <c r="AD83" s="4"/>
      <c r="AE83" s="4"/>
      <c r="AF83" s="4"/>
      <c r="AG83" s="4"/>
    </row>
    <row r="84" spans="1:33" ht="15.6">
      <c r="A84" s="132" t="s">
        <v>842</v>
      </c>
      <c r="B84" s="132" t="s">
        <v>671</v>
      </c>
      <c r="C84" s="132" t="s">
        <v>846</v>
      </c>
      <c r="D84" s="132" t="s">
        <v>839</v>
      </c>
      <c r="E84" s="190" t="s">
        <v>847</v>
      </c>
      <c r="F84" s="132" t="s">
        <v>848</v>
      </c>
      <c r="G84" s="132"/>
      <c r="H84" s="132"/>
      <c r="I84" s="132"/>
      <c r="J84" s="132"/>
      <c r="K84" s="132"/>
      <c r="L84" s="132"/>
      <c r="M84" s="132"/>
      <c r="N84" s="132"/>
      <c r="O84" s="132"/>
      <c r="P84" s="132"/>
      <c r="Q84" s="132"/>
      <c r="R84" s="132"/>
      <c r="S84" s="4"/>
      <c r="T84" s="4"/>
      <c r="U84" s="4"/>
      <c r="V84" s="4"/>
      <c r="W84" s="4"/>
      <c r="X84" s="4"/>
      <c r="Y84" s="4"/>
      <c r="Z84" s="4"/>
      <c r="AA84" s="4"/>
      <c r="AB84" s="4"/>
      <c r="AC84" s="4"/>
      <c r="AD84" s="4"/>
      <c r="AE84" s="4"/>
      <c r="AF84" s="4"/>
      <c r="AG84" s="4"/>
    </row>
    <row r="85" spans="1:33" ht="15.6">
      <c r="A85" s="132" t="s">
        <v>842</v>
      </c>
      <c r="B85" s="132" t="s">
        <v>849</v>
      </c>
      <c r="C85" s="132" t="s">
        <v>850</v>
      </c>
      <c r="D85" s="132" t="s">
        <v>839</v>
      </c>
      <c r="E85" s="190" t="s">
        <v>851</v>
      </c>
      <c r="F85" s="132" t="s">
        <v>852</v>
      </c>
      <c r="G85" s="132"/>
      <c r="H85" s="132" t="s">
        <v>853</v>
      </c>
      <c r="I85" s="132"/>
      <c r="J85" s="132"/>
      <c r="K85" s="132"/>
      <c r="L85" s="132"/>
      <c r="M85" s="132"/>
      <c r="N85" s="132"/>
      <c r="O85" s="132"/>
      <c r="P85" s="132"/>
      <c r="Q85" s="132"/>
      <c r="R85" s="132"/>
      <c r="S85" s="4"/>
      <c r="T85" s="4"/>
      <c r="U85" s="4"/>
      <c r="V85" s="4"/>
      <c r="W85" s="4"/>
      <c r="X85" s="4"/>
      <c r="Y85" s="4"/>
      <c r="Z85" s="4"/>
      <c r="AA85" s="4"/>
      <c r="AB85" s="4"/>
      <c r="AC85" s="4"/>
      <c r="AD85" s="4"/>
      <c r="AE85" s="4"/>
      <c r="AF85" s="4"/>
      <c r="AG85" s="4"/>
    </row>
    <row r="86" spans="1:33" ht="15.6">
      <c r="A86" s="132" t="s">
        <v>842</v>
      </c>
      <c r="B86" s="132" t="s">
        <v>849</v>
      </c>
      <c r="C86" s="132" t="s">
        <v>854</v>
      </c>
      <c r="D86" s="132" t="s">
        <v>839</v>
      </c>
      <c r="E86" s="190" t="s">
        <v>855</v>
      </c>
      <c r="F86" s="132" t="s">
        <v>856</v>
      </c>
      <c r="G86" s="132"/>
      <c r="H86" s="132" t="s">
        <v>857</v>
      </c>
      <c r="I86" s="132"/>
      <c r="J86" s="132"/>
      <c r="K86" s="132"/>
      <c r="L86" s="132"/>
      <c r="M86" s="132"/>
      <c r="N86" s="132"/>
      <c r="O86" s="132"/>
      <c r="P86" s="132"/>
      <c r="Q86" s="132"/>
      <c r="R86" s="132"/>
      <c r="S86" s="4"/>
      <c r="T86" s="4"/>
      <c r="U86" s="4"/>
      <c r="V86" s="4"/>
      <c r="W86" s="4"/>
      <c r="X86" s="4"/>
      <c r="Y86" s="4"/>
      <c r="Z86" s="4"/>
      <c r="AA86" s="4"/>
      <c r="AB86" s="4"/>
      <c r="AC86" s="4"/>
      <c r="AD86" s="4"/>
      <c r="AE86" s="4"/>
      <c r="AF86" s="4"/>
      <c r="AG86" s="4"/>
    </row>
    <row r="87" spans="1:33" ht="15.6">
      <c r="A87" s="132" t="s">
        <v>842</v>
      </c>
      <c r="B87" s="132" t="s">
        <v>849</v>
      </c>
      <c r="C87" s="132" t="s">
        <v>858</v>
      </c>
      <c r="D87" s="132" t="s">
        <v>839</v>
      </c>
      <c r="E87" s="190" t="s">
        <v>859</v>
      </c>
      <c r="F87" s="132" t="s">
        <v>860</v>
      </c>
      <c r="G87" s="132"/>
      <c r="H87" s="132" t="s">
        <v>861</v>
      </c>
      <c r="I87" s="132"/>
      <c r="J87" s="132"/>
      <c r="K87" s="132"/>
      <c r="L87" s="132"/>
      <c r="M87" s="132"/>
      <c r="N87" s="132"/>
      <c r="O87" s="132"/>
      <c r="P87" s="132"/>
      <c r="Q87" s="132"/>
      <c r="R87" s="132"/>
      <c r="S87" s="4"/>
      <c r="T87" s="4"/>
      <c r="U87" s="4"/>
      <c r="V87" s="4"/>
      <c r="W87" s="4"/>
      <c r="X87" s="4"/>
      <c r="Y87" s="4"/>
      <c r="Z87" s="4"/>
      <c r="AA87" s="4"/>
      <c r="AB87" s="4"/>
      <c r="AC87" s="4"/>
      <c r="AD87" s="4"/>
      <c r="AE87" s="4"/>
      <c r="AF87" s="4"/>
      <c r="AG87" s="4"/>
    </row>
    <row r="88" spans="1:33" ht="15.6">
      <c r="A88" s="132" t="s">
        <v>842</v>
      </c>
      <c r="B88" s="132" t="s">
        <v>849</v>
      </c>
      <c r="C88" s="132" t="s">
        <v>862</v>
      </c>
      <c r="D88" s="132" t="s">
        <v>839</v>
      </c>
      <c r="E88" s="190" t="s">
        <v>863</v>
      </c>
      <c r="F88" s="132" t="s">
        <v>864</v>
      </c>
      <c r="G88" s="132"/>
      <c r="H88" s="132" t="s">
        <v>865</v>
      </c>
      <c r="I88" s="132"/>
      <c r="J88" s="132"/>
      <c r="K88" s="132"/>
      <c r="L88" s="132"/>
      <c r="M88" s="132"/>
      <c r="N88" s="132"/>
      <c r="O88" s="132"/>
      <c r="P88" s="132"/>
      <c r="Q88" s="132"/>
      <c r="R88" s="132"/>
      <c r="S88" s="4"/>
      <c r="T88" s="4"/>
      <c r="U88" s="4"/>
      <c r="V88" s="4"/>
      <c r="W88" s="4"/>
      <c r="X88" s="4"/>
      <c r="Y88" s="4"/>
      <c r="Z88" s="4"/>
      <c r="AA88" s="4"/>
      <c r="AB88" s="4"/>
      <c r="AC88" s="4"/>
      <c r="AD88" s="4"/>
      <c r="AE88" s="4"/>
      <c r="AF88" s="4"/>
      <c r="AG88" s="4"/>
    </row>
    <row r="89" spans="1:33" ht="15.6">
      <c r="A89" s="132" t="s">
        <v>842</v>
      </c>
      <c r="B89" s="132" t="s">
        <v>849</v>
      </c>
      <c r="C89" s="132" t="s">
        <v>866</v>
      </c>
      <c r="D89" s="132" t="s">
        <v>839</v>
      </c>
      <c r="E89" s="190" t="s">
        <v>867</v>
      </c>
      <c r="F89" s="132" t="s">
        <v>868</v>
      </c>
      <c r="G89" s="132"/>
      <c r="H89" s="132" t="s">
        <v>869</v>
      </c>
      <c r="I89" s="132"/>
      <c r="J89" s="132"/>
      <c r="K89" s="132"/>
      <c r="L89" s="132"/>
      <c r="M89" s="132"/>
      <c r="N89" s="132"/>
      <c r="O89" s="132"/>
      <c r="P89" s="132"/>
      <c r="Q89" s="132"/>
      <c r="R89" s="132"/>
      <c r="S89" s="4"/>
      <c r="T89" s="4"/>
      <c r="U89" s="4"/>
      <c r="V89" s="4"/>
      <c r="W89" s="4"/>
      <c r="X89" s="4"/>
      <c r="Y89" s="4"/>
      <c r="Z89" s="4"/>
      <c r="AA89" s="4"/>
      <c r="AB89" s="4"/>
      <c r="AC89" s="4"/>
      <c r="AD89" s="4"/>
      <c r="AE89" s="4"/>
      <c r="AF89" s="4"/>
      <c r="AG89" s="4"/>
    </row>
    <row r="90" spans="1:33" ht="15.6">
      <c r="A90" s="132" t="s">
        <v>842</v>
      </c>
      <c r="B90" s="132" t="s">
        <v>849</v>
      </c>
      <c r="C90" s="132" t="s">
        <v>870</v>
      </c>
      <c r="D90" s="132" t="s">
        <v>839</v>
      </c>
      <c r="E90" s="190" t="s">
        <v>871</v>
      </c>
      <c r="F90" s="132" t="s">
        <v>872</v>
      </c>
      <c r="G90" s="132"/>
      <c r="H90" s="132" t="s">
        <v>873</v>
      </c>
      <c r="I90" s="132"/>
      <c r="J90" s="132"/>
      <c r="K90" s="132"/>
      <c r="L90" s="132"/>
      <c r="M90" s="132"/>
      <c r="N90" s="132"/>
      <c r="O90" s="132"/>
      <c r="P90" s="132"/>
      <c r="Q90" s="132"/>
      <c r="R90" s="132"/>
      <c r="S90" s="4"/>
      <c r="T90" s="4"/>
      <c r="U90" s="4"/>
      <c r="V90" s="4"/>
      <c r="W90" s="4"/>
      <c r="X90" s="4"/>
      <c r="Y90" s="4"/>
      <c r="Z90" s="4"/>
      <c r="AA90" s="4"/>
      <c r="AB90" s="4"/>
      <c r="AC90" s="4"/>
      <c r="AD90" s="4"/>
      <c r="AE90" s="4"/>
      <c r="AF90" s="4"/>
      <c r="AG90" s="4"/>
    </row>
    <row r="91" spans="1:33" ht="15.6">
      <c r="A91" s="132" t="s">
        <v>842</v>
      </c>
      <c r="B91" s="132" t="s">
        <v>849</v>
      </c>
      <c r="C91" s="132" t="s">
        <v>874</v>
      </c>
      <c r="D91" s="132" t="s">
        <v>839</v>
      </c>
      <c r="E91" s="190" t="s">
        <v>875</v>
      </c>
      <c r="F91" s="132" t="s">
        <v>876</v>
      </c>
      <c r="G91" s="132"/>
      <c r="H91" s="132" t="s">
        <v>877</v>
      </c>
      <c r="I91" s="132"/>
      <c r="J91" s="132"/>
      <c r="K91" s="132"/>
      <c r="L91" s="132"/>
      <c r="M91" s="132"/>
      <c r="N91" s="132"/>
      <c r="O91" s="132"/>
      <c r="P91" s="132"/>
      <c r="Q91" s="132"/>
      <c r="R91" s="132"/>
      <c r="S91" s="4"/>
      <c r="T91" s="4"/>
      <c r="U91" s="4"/>
      <c r="V91" s="4"/>
      <c r="W91" s="4"/>
      <c r="X91" s="4"/>
      <c r="Y91" s="4"/>
      <c r="Z91" s="4"/>
      <c r="AA91" s="4"/>
      <c r="AB91" s="4"/>
      <c r="AC91" s="4"/>
      <c r="AD91" s="4"/>
      <c r="AE91" s="4"/>
      <c r="AF91" s="4"/>
      <c r="AG91" s="4"/>
    </row>
    <row r="92" spans="1:33" ht="15.6">
      <c r="A92" s="132" t="s">
        <v>842</v>
      </c>
      <c r="B92" s="132" t="s">
        <v>849</v>
      </c>
      <c r="C92" s="132" t="s">
        <v>878</v>
      </c>
      <c r="D92" s="132" t="s">
        <v>839</v>
      </c>
      <c r="E92" s="190" t="s">
        <v>879</v>
      </c>
      <c r="F92" s="132" t="s">
        <v>880</v>
      </c>
      <c r="G92" s="132"/>
      <c r="H92" s="132" t="s">
        <v>881</v>
      </c>
      <c r="I92" s="132"/>
      <c r="J92" s="132"/>
      <c r="K92" s="132"/>
      <c r="L92" s="132"/>
      <c r="M92" s="132"/>
      <c r="N92" s="132"/>
      <c r="O92" s="132"/>
      <c r="P92" s="132"/>
      <c r="Q92" s="132"/>
      <c r="R92" s="132"/>
      <c r="S92" s="4"/>
      <c r="T92" s="4"/>
      <c r="U92" s="4"/>
      <c r="V92" s="4"/>
      <c r="W92" s="4"/>
      <c r="X92" s="4"/>
      <c r="Y92" s="4"/>
      <c r="Z92" s="4"/>
      <c r="AA92" s="4"/>
      <c r="AB92" s="4"/>
      <c r="AC92" s="4"/>
      <c r="AD92" s="4"/>
      <c r="AE92" s="4"/>
      <c r="AF92" s="4"/>
      <c r="AG92" s="4"/>
    </row>
    <row r="93" spans="1:33" ht="15.6">
      <c r="A93" s="132" t="s">
        <v>842</v>
      </c>
      <c r="B93" s="132" t="s">
        <v>849</v>
      </c>
      <c r="C93" s="132" t="s">
        <v>882</v>
      </c>
      <c r="D93" s="132" t="s">
        <v>839</v>
      </c>
      <c r="E93" s="190" t="s">
        <v>883</v>
      </c>
      <c r="F93" s="132" t="s">
        <v>884</v>
      </c>
      <c r="G93" s="132"/>
      <c r="H93" s="132" t="s">
        <v>885</v>
      </c>
      <c r="I93" s="132"/>
      <c r="J93" s="132"/>
      <c r="K93" s="132"/>
      <c r="L93" s="132"/>
      <c r="M93" s="132"/>
      <c r="N93" s="132"/>
      <c r="O93" s="132"/>
      <c r="P93" s="132"/>
      <c r="Q93" s="132"/>
      <c r="R93" s="132"/>
      <c r="S93" s="4"/>
      <c r="T93" s="4"/>
      <c r="U93" s="4"/>
      <c r="V93" s="4"/>
      <c r="W93" s="4"/>
      <c r="X93" s="4"/>
      <c r="Y93" s="4"/>
      <c r="Z93" s="4"/>
      <c r="AA93" s="4"/>
      <c r="AB93" s="4"/>
      <c r="AC93" s="4"/>
      <c r="AD93" s="4"/>
      <c r="AE93" s="4"/>
      <c r="AF93" s="4"/>
      <c r="AG93" s="4"/>
    </row>
    <row r="94" spans="1:33" ht="15.6">
      <c r="A94" s="132" t="s">
        <v>842</v>
      </c>
      <c r="B94" s="132" t="s">
        <v>886</v>
      </c>
      <c r="C94" s="132" t="s">
        <v>887</v>
      </c>
      <c r="D94" s="132" t="s">
        <v>888</v>
      </c>
      <c r="E94" s="192" t="s">
        <v>889</v>
      </c>
      <c r="F94" s="132" t="s">
        <v>890</v>
      </c>
      <c r="G94" s="132"/>
      <c r="H94" s="132"/>
      <c r="I94" s="132"/>
      <c r="J94" s="132"/>
      <c r="K94" s="132"/>
      <c r="L94" s="132"/>
      <c r="M94" s="132"/>
      <c r="N94" s="132"/>
      <c r="O94" s="132"/>
      <c r="P94" s="132"/>
      <c r="Q94" s="132"/>
      <c r="R94" s="132"/>
      <c r="S94" s="4"/>
      <c r="T94" s="4"/>
      <c r="U94" s="4"/>
      <c r="V94" s="4"/>
      <c r="W94" s="4"/>
      <c r="X94" s="4"/>
      <c r="Y94" s="4"/>
      <c r="Z94" s="4"/>
      <c r="AA94" s="4"/>
      <c r="AB94" s="4"/>
      <c r="AC94" s="4"/>
      <c r="AD94" s="4"/>
      <c r="AE94" s="4"/>
      <c r="AF94" s="4"/>
      <c r="AG94" s="4"/>
    </row>
    <row r="95" spans="1:33" ht="15.6">
      <c r="A95" s="132" t="s">
        <v>631</v>
      </c>
      <c r="B95" s="132" t="s">
        <v>886</v>
      </c>
      <c r="C95" s="132" t="s">
        <v>891</v>
      </c>
      <c r="D95" s="132" t="s">
        <v>888</v>
      </c>
      <c r="E95" s="192" t="s">
        <v>892</v>
      </c>
      <c r="F95" s="132" t="s">
        <v>893</v>
      </c>
      <c r="G95" s="132"/>
      <c r="H95" s="132"/>
      <c r="I95" s="132"/>
      <c r="J95" s="132"/>
      <c r="K95" s="132"/>
      <c r="L95" s="132"/>
      <c r="M95" s="132"/>
      <c r="N95" s="132"/>
      <c r="O95" s="132"/>
      <c r="P95" s="132"/>
      <c r="Q95" s="132"/>
      <c r="R95" s="132"/>
      <c r="S95" s="4"/>
      <c r="T95" s="4"/>
      <c r="U95" s="4"/>
      <c r="V95" s="4"/>
      <c r="W95" s="4"/>
      <c r="X95" s="4"/>
      <c r="Y95" s="4"/>
      <c r="Z95" s="4"/>
      <c r="AA95" s="4"/>
      <c r="AB95" s="4"/>
      <c r="AC95" s="4"/>
      <c r="AD95" s="4"/>
      <c r="AE95" s="4"/>
      <c r="AF95" s="4"/>
      <c r="AG95" s="4"/>
    </row>
    <row r="96" spans="1:33" ht="15.6">
      <c r="A96" s="132" t="s">
        <v>631</v>
      </c>
      <c r="B96" s="132" t="s">
        <v>661</v>
      </c>
      <c r="C96" s="132" t="s">
        <v>894</v>
      </c>
      <c r="D96" s="132" t="s">
        <v>888</v>
      </c>
      <c r="E96" s="192" t="s">
        <v>895</v>
      </c>
      <c r="F96" s="132" t="s">
        <v>896</v>
      </c>
      <c r="G96" s="132"/>
      <c r="H96" s="132"/>
      <c r="I96" s="132"/>
      <c r="J96" s="132"/>
      <c r="K96" s="132"/>
      <c r="L96" s="132"/>
      <c r="M96" s="132"/>
      <c r="N96" s="132"/>
      <c r="O96" s="132"/>
      <c r="P96" s="132"/>
      <c r="Q96" s="132"/>
      <c r="R96" s="132"/>
      <c r="S96" s="4"/>
      <c r="T96" s="4"/>
      <c r="U96" s="4"/>
      <c r="V96" s="4"/>
      <c r="W96" s="4"/>
      <c r="X96" s="4"/>
      <c r="Y96" s="4"/>
      <c r="Z96" s="4"/>
      <c r="AA96" s="4"/>
      <c r="AB96" s="4"/>
      <c r="AC96" s="4"/>
      <c r="AD96" s="4"/>
      <c r="AE96" s="4"/>
      <c r="AF96" s="4"/>
      <c r="AG96" s="4"/>
    </row>
    <row r="97" spans="1:33" ht="15.6">
      <c r="A97" s="132" t="s">
        <v>631</v>
      </c>
      <c r="B97" s="132" t="s">
        <v>661</v>
      </c>
      <c r="C97" s="132" t="s">
        <v>897</v>
      </c>
      <c r="D97" s="132" t="s">
        <v>888</v>
      </c>
      <c r="E97" s="192" t="s">
        <v>898</v>
      </c>
      <c r="F97" s="132" t="s">
        <v>899</v>
      </c>
      <c r="G97" s="132"/>
      <c r="H97" s="132"/>
      <c r="I97" s="132"/>
      <c r="J97" s="132"/>
      <c r="K97" s="132"/>
      <c r="L97" s="132"/>
      <c r="M97" s="132"/>
      <c r="N97" s="132"/>
      <c r="O97" s="132"/>
      <c r="P97" s="132"/>
      <c r="Q97" s="132"/>
      <c r="R97" s="132"/>
      <c r="S97" s="4"/>
      <c r="T97" s="4"/>
      <c r="U97" s="4"/>
      <c r="V97" s="4"/>
      <c r="W97" s="4"/>
      <c r="X97" s="4"/>
      <c r="Y97" s="4"/>
      <c r="Z97" s="4"/>
      <c r="AA97" s="4"/>
      <c r="AB97" s="4"/>
      <c r="AC97" s="4"/>
      <c r="AD97" s="4"/>
      <c r="AE97" s="4"/>
      <c r="AF97" s="4"/>
      <c r="AG97" s="4"/>
    </row>
    <row r="98" spans="1:33" ht="15.6">
      <c r="A98" s="132" t="s">
        <v>631</v>
      </c>
      <c r="B98" s="132" t="s">
        <v>661</v>
      </c>
      <c r="C98" s="132" t="s">
        <v>900</v>
      </c>
      <c r="D98" s="132" t="s">
        <v>888</v>
      </c>
      <c r="E98" s="192" t="s">
        <v>901</v>
      </c>
      <c r="F98" s="132" t="s">
        <v>902</v>
      </c>
      <c r="G98" s="132"/>
      <c r="H98" s="132"/>
      <c r="I98" s="132"/>
      <c r="J98" s="132"/>
      <c r="K98" s="132"/>
      <c r="L98" s="132"/>
      <c r="M98" s="132"/>
      <c r="N98" s="132"/>
      <c r="O98" s="132"/>
      <c r="P98" s="132"/>
      <c r="Q98" s="132"/>
      <c r="R98" s="132"/>
      <c r="S98" s="4"/>
      <c r="T98" s="4"/>
      <c r="U98" s="4"/>
      <c r="V98" s="4"/>
      <c r="W98" s="4"/>
      <c r="X98" s="4"/>
      <c r="Y98" s="4"/>
      <c r="Z98" s="4"/>
      <c r="AA98" s="4"/>
      <c r="AB98" s="4"/>
      <c r="AC98" s="4"/>
      <c r="AD98" s="4"/>
      <c r="AE98" s="4"/>
      <c r="AF98" s="4"/>
      <c r="AG98" s="4"/>
    </row>
    <row r="99" spans="1:33" ht="15.6">
      <c r="A99" s="132" t="s">
        <v>631</v>
      </c>
      <c r="B99" s="132" t="s">
        <v>661</v>
      </c>
      <c r="C99" s="132" t="s">
        <v>903</v>
      </c>
      <c r="D99" s="132" t="s">
        <v>888</v>
      </c>
      <c r="E99" s="192" t="s">
        <v>904</v>
      </c>
      <c r="F99" s="132" t="s">
        <v>905</v>
      </c>
      <c r="G99" s="132"/>
      <c r="H99" s="132"/>
      <c r="I99" s="132"/>
      <c r="J99" s="132"/>
      <c r="K99" s="132"/>
      <c r="L99" s="132"/>
      <c r="M99" s="132"/>
      <c r="N99" s="132"/>
      <c r="O99" s="132"/>
      <c r="P99" s="132"/>
      <c r="Q99" s="132"/>
      <c r="R99" s="132"/>
      <c r="S99" s="4"/>
      <c r="T99" s="4"/>
      <c r="U99" s="4"/>
      <c r="V99" s="4"/>
      <c r="W99" s="4"/>
      <c r="X99" s="4"/>
      <c r="Y99" s="4"/>
      <c r="Z99" s="4"/>
      <c r="AA99" s="4"/>
      <c r="AB99" s="4"/>
      <c r="AC99" s="4"/>
      <c r="AD99" s="4"/>
      <c r="AE99" s="4"/>
      <c r="AF99" s="4"/>
      <c r="AG99" s="4"/>
    </row>
    <row r="100" spans="1:33" ht="15.6">
      <c r="A100" s="132" t="s">
        <v>631</v>
      </c>
      <c r="B100" s="132" t="s">
        <v>661</v>
      </c>
      <c r="C100" s="132" t="s">
        <v>906</v>
      </c>
      <c r="D100" s="132" t="s">
        <v>888</v>
      </c>
      <c r="E100" s="192" t="s">
        <v>907</v>
      </c>
      <c r="F100" s="132" t="s">
        <v>908</v>
      </c>
      <c r="G100" s="132"/>
      <c r="H100" s="132"/>
      <c r="I100" s="132"/>
      <c r="J100" s="132"/>
      <c r="K100" s="132"/>
      <c r="L100" s="132"/>
      <c r="M100" s="132"/>
      <c r="N100" s="132"/>
      <c r="O100" s="132"/>
      <c r="P100" s="132"/>
      <c r="Q100" s="132"/>
      <c r="R100" s="132"/>
      <c r="S100" s="4"/>
      <c r="T100" s="4"/>
      <c r="U100" s="4"/>
      <c r="V100" s="4"/>
      <c r="W100" s="4"/>
      <c r="X100" s="4"/>
      <c r="Y100" s="4"/>
      <c r="Z100" s="4"/>
      <c r="AA100" s="4"/>
      <c r="AB100" s="4"/>
      <c r="AC100" s="4"/>
      <c r="AD100" s="4"/>
      <c r="AE100" s="4"/>
      <c r="AF100" s="4"/>
      <c r="AG100" s="4"/>
    </row>
    <row r="101" spans="1:33" ht="15.6">
      <c r="A101" s="132" t="s">
        <v>631</v>
      </c>
      <c r="B101" s="132" t="s">
        <v>661</v>
      </c>
      <c r="C101" s="132" t="s">
        <v>909</v>
      </c>
      <c r="D101" s="132" t="s">
        <v>888</v>
      </c>
      <c r="E101" s="192" t="s">
        <v>910</v>
      </c>
      <c r="F101" s="132" t="s">
        <v>911</v>
      </c>
      <c r="G101" s="132"/>
      <c r="H101" s="132"/>
      <c r="I101" s="132"/>
      <c r="J101" s="132"/>
      <c r="K101" s="132"/>
      <c r="L101" s="132"/>
      <c r="M101" s="132"/>
      <c r="N101" s="132"/>
      <c r="O101" s="132"/>
      <c r="P101" s="132"/>
      <c r="Q101" s="132"/>
      <c r="R101" s="132"/>
      <c r="S101" s="4"/>
      <c r="T101" s="4"/>
      <c r="U101" s="4"/>
      <c r="V101" s="4"/>
      <c r="W101" s="4"/>
      <c r="X101" s="4"/>
      <c r="Y101" s="4"/>
      <c r="Z101" s="4"/>
      <c r="AA101" s="4"/>
      <c r="AB101" s="4"/>
      <c r="AC101" s="4"/>
      <c r="AD101" s="4"/>
      <c r="AE101" s="4"/>
      <c r="AF101" s="4"/>
      <c r="AG101" s="4"/>
    </row>
    <row r="102" spans="1:33" ht="15.6">
      <c r="A102" s="132" t="s">
        <v>631</v>
      </c>
      <c r="B102" s="132" t="s">
        <v>661</v>
      </c>
      <c r="C102" s="132" t="s">
        <v>912</v>
      </c>
      <c r="D102" s="132" t="s">
        <v>888</v>
      </c>
      <c r="E102" s="192" t="s">
        <v>913</v>
      </c>
      <c r="F102" s="132" t="s">
        <v>914</v>
      </c>
      <c r="G102" s="132"/>
      <c r="H102" s="132"/>
      <c r="I102" s="132"/>
      <c r="J102" s="132"/>
      <c r="K102" s="132"/>
      <c r="L102" s="132"/>
      <c r="M102" s="132"/>
      <c r="N102" s="132"/>
      <c r="O102" s="132"/>
      <c r="P102" s="132"/>
      <c r="Q102" s="132"/>
      <c r="R102" s="132"/>
      <c r="S102" s="4"/>
      <c r="T102" s="4"/>
      <c r="U102" s="4"/>
      <c r="V102" s="4"/>
      <c r="W102" s="4"/>
      <c r="X102" s="4"/>
      <c r="Y102" s="4"/>
      <c r="Z102" s="4"/>
      <c r="AA102" s="4"/>
      <c r="AB102" s="4"/>
      <c r="AC102" s="4"/>
      <c r="AD102" s="4"/>
      <c r="AE102" s="4"/>
      <c r="AF102" s="4"/>
      <c r="AG102" s="4"/>
    </row>
    <row r="103" spans="1:33" ht="15.6">
      <c r="A103" s="132" t="s">
        <v>631</v>
      </c>
      <c r="B103" s="132" t="s">
        <v>661</v>
      </c>
      <c r="C103" s="132" t="s">
        <v>915</v>
      </c>
      <c r="D103" s="132" t="s">
        <v>888</v>
      </c>
      <c r="E103" s="192" t="s">
        <v>916</v>
      </c>
      <c r="F103" s="132" t="s">
        <v>917</v>
      </c>
      <c r="G103" s="132"/>
      <c r="H103" s="132"/>
      <c r="I103" s="132"/>
      <c r="J103" s="132"/>
      <c r="K103" s="132"/>
      <c r="L103" s="132"/>
      <c r="M103" s="132"/>
      <c r="N103" s="132"/>
      <c r="O103" s="132"/>
      <c r="P103" s="132"/>
      <c r="Q103" s="132"/>
      <c r="R103" s="132"/>
      <c r="S103" s="4"/>
      <c r="T103" s="4"/>
      <c r="U103" s="4"/>
      <c r="V103" s="4"/>
      <c r="W103" s="4"/>
      <c r="X103" s="4"/>
      <c r="Y103" s="4"/>
      <c r="Z103" s="4"/>
      <c r="AA103" s="4"/>
      <c r="AB103" s="4"/>
      <c r="AC103" s="4"/>
      <c r="AD103" s="4"/>
      <c r="AE103" s="4"/>
      <c r="AF103" s="4"/>
      <c r="AG103" s="4"/>
    </row>
    <row r="104" spans="1:33" ht="15.6">
      <c r="A104" s="132" t="s">
        <v>631</v>
      </c>
      <c r="B104" s="132" t="s">
        <v>661</v>
      </c>
      <c r="C104" s="132" t="s">
        <v>918</v>
      </c>
      <c r="D104" s="132" t="s">
        <v>919</v>
      </c>
      <c r="E104" s="192" t="s">
        <v>920</v>
      </c>
      <c r="F104" s="132" t="s">
        <v>921</v>
      </c>
      <c r="G104" s="132"/>
      <c r="H104" s="132"/>
      <c r="I104" s="132"/>
      <c r="J104" s="132"/>
      <c r="K104" s="132"/>
      <c r="L104" s="132"/>
      <c r="M104" s="132"/>
      <c r="N104" s="132"/>
      <c r="O104" s="132"/>
      <c r="P104" s="132"/>
      <c r="Q104" s="132"/>
      <c r="R104" s="132"/>
      <c r="S104" s="4"/>
      <c r="T104" s="4"/>
      <c r="U104" s="4"/>
      <c r="V104" s="4"/>
      <c r="W104" s="4"/>
      <c r="X104" s="4"/>
      <c r="Y104" s="4"/>
      <c r="Z104" s="4"/>
      <c r="AA104" s="4"/>
      <c r="AB104" s="4"/>
      <c r="AC104" s="4"/>
      <c r="AD104" s="4"/>
      <c r="AE104" s="4"/>
      <c r="AF104" s="4"/>
      <c r="AG104" s="4"/>
    </row>
    <row r="105" spans="1:33" ht="15.6">
      <c r="A105" s="132" t="s">
        <v>631</v>
      </c>
      <c r="B105" s="132" t="s">
        <v>922</v>
      </c>
      <c r="C105" s="132" t="s">
        <v>923</v>
      </c>
      <c r="D105" s="132" t="s">
        <v>919</v>
      </c>
      <c r="E105" s="192" t="s">
        <v>924</v>
      </c>
      <c r="F105" s="132" t="s">
        <v>925</v>
      </c>
      <c r="G105" s="132"/>
      <c r="H105" s="132"/>
      <c r="I105" s="132"/>
      <c r="J105" s="132"/>
      <c r="K105" s="132"/>
      <c r="L105" s="132"/>
      <c r="M105" s="132"/>
      <c r="N105" s="132"/>
      <c r="O105" s="132"/>
      <c r="P105" s="132"/>
      <c r="Q105" s="132"/>
      <c r="R105" s="132"/>
      <c r="S105" s="4"/>
      <c r="T105" s="4"/>
      <c r="U105" s="4"/>
      <c r="V105" s="4"/>
      <c r="W105" s="4"/>
      <c r="X105" s="4"/>
      <c r="Y105" s="4"/>
      <c r="Z105" s="4"/>
      <c r="AA105" s="4"/>
      <c r="AB105" s="4"/>
      <c r="AC105" s="4"/>
      <c r="AD105" s="4"/>
      <c r="AE105" s="4"/>
      <c r="AF105" s="4"/>
      <c r="AG105" s="4"/>
    </row>
    <row r="106" spans="1:33" ht="15.6">
      <c r="A106" s="132" t="s">
        <v>631</v>
      </c>
      <c r="B106" s="132" t="s">
        <v>922</v>
      </c>
      <c r="C106" s="132" t="s">
        <v>926</v>
      </c>
      <c r="D106" s="132" t="s">
        <v>888</v>
      </c>
      <c r="E106" s="192" t="s">
        <v>927</v>
      </c>
      <c r="F106" s="132" t="s">
        <v>928</v>
      </c>
      <c r="G106" s="132"/>
      <c r="H106" s="132"/>
      <c r="I106" s="132"/>
      <c r="J106" s="132"/>
      <c r="K106" s="132"/>
      <c r="L106" s="132"/>
      <c r="M106" s="132"/>
      <c r="N106" s="132"/>
      <c r="O106" s="132"/>
      <c r="P106" s="132"/>
      <c r="Q106" s="132"/>
      <c r="R106" s="132"/>
      <c r="S106" s="4"/>
      <c r="T106" s="4"/>
      <c r="U106" s="4"/>
      <c r="V106" s="4"/>
      <c r="W106" s="4"/>
      <c r="X106" s="4"/>
      <c r="Y106" s="4"/>
      <c r="Z106" s="4"/>
      <c r="AA106" s="4"/>
      <c r="AB106" s="4"/>
      <c r="AC106" s="4"/>
      <c r="AD106" s="4"/>
      <c r="AE106" s="4"/>
      <c r="AF106" s="4"/>
      <c r="AG106" s="4"/>
    </row>
    <row r="107" spans="1:3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row>
    <row r="108" spans="1:3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row>
    <row r="109" spans="1:3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row>
    <row r="110" spans="1:33">
      <c r="A110" s="4"/>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BF64-8683-495F-83A2-80AC4F047DE7}">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B27" sqref="B27"/>
    </sheetView>
  </sheetViews>
  <sheetFormatPr baseColWidth="10" defaultColWidth="11.44140625" defaultRowHeight="14.4"/>
  <cols>
    <col min="2" max="2" width="26.109375" customWidth="1"/>
    <col min="3" max="3" width="163.109375" customWidth="1"/>
    <col min="4" max="4" width="52.5546875" customWidth="1"/>
  </cols>
  <sheetData>
    <row r="1" spans="1:30">
      <c r="A1" s="1" t="s">
        <v>37</v>
      </c>
    </row>
    <row r="2" spans="1:30">
      <c r="A2" s="1"/>
    </row>
    <row r="3" spans="1:30">
      <c r="A3" s="1"/>
    </row>
    <row r="4" spans="1:30" s="35" customFormat="1" ht="25.8">
      <c r="A4" s="283" t="s">
        <v>929</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ht="20.399999999999999">
      <c r="A5" s="194" t="s">
        <v>665</v>
      </c>
      <c r="B5" s="195" t="s">
        <v>930</v>
      </c>
      <c r="C5" s="196" t="s">
        <v>931</v>
      </c>
      <c r="D5" s="196" t="s">
        <v>932</v>
      </c>
      <c r="E5" s="197"/>
      <c r="F5" s="197"/>
      <c r="G5" s="197"/>
      <c r="H5" s="197"/>
      <c r="I5" s="197"/>
      <c r="J5" s="197"/>
      <c r="K5" s="197"/>
      <c r="L5" s="197"/>
      <c r="M5" s="197"/>
      <c r="N5" s="193"/>
      <c r="O5" s="193"/>
      <c r="P5" s="193"/>
      <c r="Q5" s="193"/>
      <c r="R5" s="193"/>
      <c r="S5" s="193"/>
      <c r="T5" s="193"/>
      <c r="U5" s="193"/>
      <c r="V5" s="4"/>
      <c r="W5" s="4"/>
      <c r="X5" s="4"/>
      <c r="Y5" s="4"/>
      <c r="Z5" s="4"/>
      <c r="AA5" s="4"/>
      <c r="AB5" s="4"/>
      <c r="AC5" s="4"/>
      <c r="AD5" s="4"/>
    </row>
    <row r="6" spans="1:30" ht="15.6">
      <c r="A6" s="189" t="s">
        <v>626</v>
      </c>
      <c r="B6" s="132" t="s">
        <v>933</v>
      </c>
      <c r="C6" s="190" t="s">
        <v>934</v>
      </c>
      <c r="D6" s="132" t="s">
        <v>935</v>
      </c>
      <c r="E6" s="4"/>
      <c r="F6" s="4"/>
      <c r="G6" s="4"/>
      <c r="H6" s="132"/>
      <c r="I6" s="132"/>
      <c r="J6" s="132"/>
      <c r="K6" s="132"/>
      <c r="L6" s="132"/>
      <c r="M6" s="132"/>
      <c r="N6" s="132"/>
      <c r="O6" s="132"/>
      <c r="P6" s="4"/>
      <c r="Q6" s="4"/>
      <c r="R6" s="4"/>
      <c r="S6" s="4"/>
      <c r="T6" s="4"/>
      <c r="U6" s="4"/>
      <c r="V6" s="4"/>
      <c r="W6" s="4"/>
      <c r="X6" s="4"/>
      <c r="Y6" s="4"/>
      <c r="Z6" s="4"/>
      <c r="AA6" s="4"/>
      <c r="AB6" s="4"/>
      <c r="AC6" s="4"/>
      <c r="AD6" s="4"/>
    </row>
    <row r="7" spans="1:30" ht="15.6">
      <c r="A7" s="4"/>
      <c r="B7" s="4"/>
      <c r="C7" s="190" t="s">
        <v>936</v>
      </c>
      <c r="D7" s="132" t="s">
        <v>937</v>
      </c>
      <c r="H7" s="4"/>
      <c r="I7" s="4"/>
      <c r="J7" s="4"/>
      <c r="K7" s="4"/>
      <c r="L7" s="4"/>
      <c r="M7" s="4"/>
      <c r="N7" s="4"/>
      <c r="O7" s="4"/>
      <c r="P7" s="4"/>
      <c r="Q7" s="4"/>
      <c r="R7" s="4"/>
      <c r="S7" s="4"/>
      <c r="T7" s="4"/>
      <c r="U7" s="4"/>
      <c r="V7" s="4"/>
      <c r="W7" s="4"/>
      <c r="X7" s="4"/>
      <c r="Y7" s="4"/>
      <c r="Z7" s="4"/>
      <c r="AA7" s="4"/>
      <c r="AB7" s="4"/>
      <c r="AC7" s="4"/>
      <c r="AD7" s="4"/>
    </row>
    <row r="8" spans="1:30" ht="15.6">
      <c r="A8" s="4"/>
      <c r="B8" s="4"/>
      <c r="C8" s="190"/>
      <c r="D8" s="132"/>
      <c r="H8" s="4"/>
      <c r="I8" s="4"/>
      <c r="J8" s="4"/>
      <c r="K8" s="4"/>
      <c r="L8" s="4"/>
      <c r="M8" s="4"/>
      <c r="N8" s="4"/>
      <c r="O8" s="4"/>
      <c r="P8" s="4"/>
      <c r="Q8" s="4"/>
      <c r="R8" s="4"/>
      <c r="S8" s="4"/>
      <c r="T8" s="4"/>
      <c r="U8" s="4"/>
      <c r="V8" s="4"/>
      <c r="W8" s="4"/>
      <c r="X8" s="4"/>
      <c r="Y8" s="4"/>
      <c r="Z8" s="4"/>
      <c r="AA8" s="4"/>
      <c r="AB8" s="4"/>
      <c r="AC8" s="4"/>
      <c r="AD8" s="4"/>
    </row>
    <row r="9" spans="1:30" ht="15.6">
      <c r="A9" s="189" t="s">
        <v>631</v>
      </c>
      <c r="B9" s="132" t="s">
        <v>938</v>
      </c>
      <c r="C9" s="190" t="s">
        <v>939</v>
      </c>
      <c r="D9" s="132" t="s">
        <v>940</v>
      </c>
      <c r="G9" s="4"/>
      <c r="H9" s="132"/>
      <c r="I9" s="132"/>
      <c r="J9" s="132"/>
      <c r="K9" s="132"/>
      <c r="L9" s="132"/>
      <c r="M9" s="132"/>
      <c r="N9" s="132"/>
      <c r="O9" s="132"/>
      <c r="P9" s="4"/>
      <c r="Q9" s="4"/>
      <c r="R9" s="4"/>
      <c r="S9" s="4"/>
      <c r="T9" s="4"/>
      <c r="U9" s="4"/>
      <c r="V9" s="4"/>
      <c r="W9" s="4"/>
      <c r="X9" s="4"/>
      <c r="Y9" s="4"/>
      <c r="Z9" s="4"/>
      <c r="AA9" s="4"/>
      <c r="AB9" s="4"/>
      <c r="AC9" s="4"/>
      <c r="AD9" s="4"/>
    </row>
    <row r="10" spans="1:30" ht="15.6">
      <c r="A10" s="189"/>
      <c r="B10" s="4"/>
      <c r="C10" s="190" t="s">
        <v>941</v>
      </c>
      <c r="D10" s="132" t="s">
        <v>942</v>
      </c>
      <c r="G10" s="4"/>
      <c r="H10" s="132"/>
      <c r="I10" s="132"/>
      <c r="J10" s="132"/>
      <c r="K10" s="132"/>
      <c r="L10" s="132"/>
      <c r="M10" s="132"/>
      <c r="N10" s="132"/>
      <c r="O10" s="132"/>
      <c r="P10" s="4"/>
      <c r="Q10" s="4"/>
      <c r="R10" s="4"/>
      <c r="S10" s="4"/>
      <c r="T10" s="4"/>
      <c r="U10" s="4"/>
      <c r="V10" s="4"/>
      <c r="W10" s="4"/>
      <c r="X10" s="4"/>
      <c r="Y10" s="4"/>
      <c r="Z10" s="4"/>
      <c r="AA10" s="4"/>
      <c r="AB10" s="4"/>
      <c r="AC10" s="4"/>
      <c r="AD10" s="4"/>
    </row>
    <row r="11" spans="1:30" ht="15.6">
      <c r="A11" s="189"/>
      <c r="B11" s="4"/>
      <c r="C11" s="190"/>
      <c r="D11" s="132"/>
      <c r="G11" s="4"/>
      <c r="H11" s="132"/>
      <c r="I11" s="132"/>
      <c r="J11" s="132"/>
      <c r="K11" s="132"/>
      <c r="L11" s="132"/>
      <c r="M11" s="132"/>
      <c r="N11" s="132"/>
      <c r="O11" s="132"/>
      <c r="P11" s="4"/>
      <c r="Q11" s="4"/>
      <c r="R11" s="4"/>
      <c r="S11" s="4"/>
      <c r="T11" s="4"/>
      <c r="U11" s="4"/>
      <c r="V11" s="4"/>
      <c r="W11" s="4"/>
      <c r="X11" s="4"/>
      <c r="Y11" s="4"/>
      <c r="Z11" s="4"/>
      <c r="AA11" s="4"/>
      <c r="AB11" s="4"/>
      <c r="AC11" s="4"/>
      <c r="AD11" s="4"/>
    </row>
    <row r="12" spans="1:30" ht="15.6">
      <c r="A12" s="189"/>
      <c r="B12" s="132" t="s">
        <v>943</v>
      </c>
      <c r="C12" s="190" t="s">
        <v>944</v>
      </c>
      <c r="D12" s="132" t="s">
        <v>940</v>
      </c>
      <c r="G12" s="4"/>
      <c r="H12" s="132"/>
      <c r="I12" s="132"/>
      <c r="J12" s="132"/>
      <c r="K12" s="132"/>
      <c r="L12" s="132"/>
      <c r="M12" s="132"/>
      <c r="N12" s="132"/>
      <c r="O12" s="132"/>
      <c r="P12" s="4"/>
      <c r="Q12" s="4"/>
      <c r="R12" s="4"/>
      <c r="S12" s="4"/>
      <c r="T12" s="4"/>
      <c r="U12" s="4"/>
      <c r="V12" s="4"/>
      <c r="W12" s="4"/>
      <c r="X12" s="4"/>
      <c r="Y12" s="4"/>
      <c r="Z12" s="4"/>
      <c r="AA12" s="4"/>
      <c r="AB12" s="4"/>
      <c r="AC12" s="4"/>
      <c r="AD12" s="4"/>
    </row>
    <row r="13" spans="1:30" ht="15.6">
      <c r="A13" s="189"/>
      <c r="B13" s="4"/>
      <c r="C13" s="190" t="s">
        <v>945</v>
      </c>
      <c r="D13" s="132" t="s">
        <v>942</v>
      </c>
      <c r="G13" s="4"/>
      <c r="H13" s="132"/>
      <c r="I13" s="132"/>
      <c r="J13" s="132"/>
      <c r="K13" s="132"/>
      <c r="L13" s="132"/>
      <c r="M13" s="132"/>
      <c r="N13" s="132"/>
      <c r="O13" s="132"/>
      <c r="P13" s="4"/>
      <c r="Q13" s="4"/>
      <c r="R13" s="4"/>
      <c r="S13" s="4"/>
      <c r="T13" s="4"/>
      <c r="U13" s="4"/>
      <c r="V13" s="4"/>
      <c r="W13" s="4"/>
      <c r="X13" s="4"/>
      <c r="Y13" s="4"/>
      <c r="Z13" s="4"/>
      <c r="AA13" s="4"/>
      <c r="AB13" s="4"/>
      <c r="AC13" s="4"/>
      <c r="AD13" s="4"/>
    </row>
    <row r="14" spans="1:30" ht="15.6">
      <c r="A14" s="189"/>
      <c r="B14" s="4"/>
      <c r="C14" s="190"/>
      <c r="D14" s="132"/>
      <c r="G14" s="4"/>
      <c r="H14" s="132"/>
      <c r="I14" s="132"/>
      <c r="J14" s="132"/>
      <c r="K14" s="132"/>
      <c r="L14" s="132"/>
      <c r="M14" s="132"/>
      <c r="N14" s="132"/>
      <c r="O14" s="132"/>
      <c r="P14" s="4"/>
      <c r="Q14" s="4"/>
      <c r="R14" s="4"/>
      <c r="S14" s="4"/>
      <c r="T14" s="4"/>
      <c r="U14" s="4"/>
      <c r="V14" s="4"/>
      <c r="W14" s="4"/>
      <c r="X14" s="4"/>
      <c r="Y14" s="4"/>
      <c r="Z14" s="4"/>
      <c r="AA14" s="4"/>
      <c r="AB14" s="4"/>
      <c r="AC14" s="4"/>
      <c r="AD14" s="4"/>
    </row>
    <row r="15" spans="1:30" ht="15.6">
      <c r="A15" s="189"/>
      <c r="B15" s="132" t="s">
        <v>946</v>
      </c>
      <c r="C15" s="190" t="s">
        <v>947</v>
      </c>
      <c r="D15" s="132" t="s">
        <v>940</v>
      </c>
      <c r="G15" s="4"/>
      <c r="H15" s="132"/>
      <c r="I15" s="132"/>
      <c r="J15" s="132"/>
      <c r="K15" s="132"/>
      <c r="L15" s="132"/>
      <c r="M15" s="132"/>
      <c r="N15" s="132"/>
      <c r="O15" s="132"/>
      <c r="P15" s="4"/>
      <c r="Q15" s="4"/>
      <c r="R15" s="4"/>
      <c r="S15" s="4"/>
      <c r="T15" s="4"/>
      <c r="U15" s="4"/>
      <c r="V15" s="4"/>
      <c r="W15" s="4"/>
      <c r="X15" s="4"/>
      <c r="Y15" s="4"/>
      <c r="Z15" s="4"/>
      <c r="AA15" s="4"/>
      <c r="AB15" s="4"/>
      <c r="AC15" s="4"/>
      <c r="AD15" s="4"/>
    </row>
    <row r="16" spans="1:30" ht="15.6">
      <c r="A16" s="189"/>
      <c r="B16" s="4"/>
      <c r="C16" s="190" t="s">
        <v>948</v>
      </c>
      <c r="D16" s="132" t="s">
        <v>942</v>
      </c>
      <c r="G16" s="4"/>
      <c r="H16" s="132"/>
      <c r="I16" s="132"/>
      <c r="J16" s="132"/>
      <c r="K16" s="132"/>
      <c r="L16" s="132"/>
      <c r="M16" s="132"/>
      <c r="N16" s="132"/>
      <c r="O16" s="132"/>
      <c r="P16" s="4"/>
      <c r="Q16" s="4"/>
      <c r="R16" s="4"/>
      <c r="S16" s="4"/>
      <c r="T16" s="4"/>
      <c r="U16" s="4"/>
      <c r="V16" s="4"/>
      <c r="W16" s="4"/>
      <c r="X16" s="4"/>
      <c r="Y16" s="4"/>
      <c r="Z16" s="4"/>
      <c r="AA16" s="4"/>
      <c r="AB16" s="4"/>
      <c r="AC16" s="4"/>
      <c r="AD16" s="4"/>
    </row>
    <row r="17" spans="1:30" ht="15.6">
      <c r="A17" s="189"/>
      <c r="B17" s="4"/>
      <c r="C17" s="190"/>
      <c r="D17" s="132"/>
      <c r="G17" s="4"/>
      <c r="H17" s="132"/>
      <c r="I17" s="132"/>
      <c r="J17" s="132"/>
      <c r="K17" s="132"/>
      <c r="L17" s="132"/>
      <c r="M17" s="132"/>
      <c r="N17" s="132"/>
      <c r="O17" s="132"/>
      <c r="P17" s="4"/>
      <c r="Q17" s="4"/>
      <c r="R17" s="4"/>
      <c r="S17" s="4"/>
      <c r="T17" s="4"/>
      <c r="U17" s="4"/>
      <c r="V17" s="4"/>
      <c r="W17" s="4"/>
      <c r="X17" s="4"/>
      <c r="Y17" s="4"/>
      <c r="Z17" s="4"/>
      <c r="AA17" s="4"/>
      <c r="AB17" s="4"/>
      <c r="AC17" s="4"/>
      <c r="AD17" s="4"/>
    </row>
    <row r="18" spans="1:30" ht="15.6">
      <c r="A18" s="189"/>
      <c r="B18" s="132" t="s">
        <v>949</v>
      </c>
      <c r="C18" s="190" t="s">
        <v>950</v>
      </c>
      <c r="D18" s="132" t="s">
        <v>940</v>
      </c>
      <c r="G18" s="4"/>
      <c r="H18" s="132"/>
      <c r="I18" s="132"/>
      <c r="J18" s="132"/>
      <c r="K18" s="132"/>
      <c r="L18" s="132"/>
      <c r="M18" s="132"/>
      <c r="N18" s="132"/>
      <c r="O18" s="132"/>
      <c r="P18" s="4"/>
      <c r="Q18" s="4"/>
      <c r="R18" s="4"/>
      <c r="S18" s="4"/>
      <c r="T18" s="4"/>
      <c r="U18" s="4"/>
      <c r="V18" s="4"/>
      <c r="W18" s="4"/>
      <c r="X18" s="4"/>
      <c r="Y18" s="4"/>
      <c r="Z18" s="4"/>
      <c r="AA18" s="4"/>
      <c r="AB18" s="4"/>
      <c r="AC18" s="4"/>
      <c r="AD18" s="4"/>
    </row>
    <row r="19" spans="1:30" ht="15.6">
      <c r="A19" s="189"/>
      <c r="B19" s="4"/>
      <c r="C19" s="190" t="s">
        <v>951</v>
      </c>
      <c r="D19" s="132" t="s">
        <v>942</v>
      </c>
      <c r="G19" s="4"/>
      <c r="H19" s="132"/>
      <c r="I19" s="132"/>
      <c r="J19" s="132"/>
      <c r="K19" s="132"/>
      <c r="L19" s="132"/>
      <c r="M19" s="132"/>
      <c r="N19" s="132"/>
      <c r="O19" s="132"/>
      <c r="P19" s="4"/>
      <c r="Q19" s="4"/>
      <c r="R19" s="4"/>
      <c r="S19" s="4"/>
      <c r="T19" s="4"/>
      <c r="U19" s="4"/>
      <c r="V19" s="4"/>
      <c r="W19" s="4"/>
      <c r="X19" s="4"/>
      <c r="Y19" s="4"/>
      <c r="Z19" s="4"/>
      <c r="AA19" s="4"/>
      <c r="AB19" s="4"/>
      <c r="AC19" s="4"/>
      <c r="AD19" s="4"/>
    </row>
    <row r="20" spans="1:30" ht="15.6">
      <c r="A20" s="189"/>
      <c r="B20" s="4"/>
      <c r="C20" s="190"/>
      <c r="D20" s="132"/>
      <c r="G20" s="4"/>
      <c r="H20" s="132"/>
      <c r="I20" s="132"/>
      <c r="J20" s="132"/>
      <c r="K20" s="132"/>
      <c r="L20" s="132"/>
      <c r="M20" s="132"/>
      <c r="N20" s="132"/>
      <c r="O20" s="132"/>
      <c r="P20" s="4"/>
      <c r="Q20" s="4"/>
      <c r="R20" s="4"/>
      <c r="S20" s="4"/>
      <c r="T20" s="4"/>
      <c r="U20" s="4"/>
      <c r="V20" s="4"/>
      <c r="W20" s="4"/>
      <c r="X20" s="4"/>
      <c r="Y20" s="4"/>
      <c r="Z20" s="4"/>
      <c r="AA20" s="4"/>
      <c r="AB20" s="4"/>
      <c r="AC20" s="4"/>
      <c r="AD20" s="4"/>
    </row>
    <row r="21" spans="1:30" ht="15.6">
      <c r="A21" s="189"/>
      <c r="B21" s="132" t="s">
        <v>952</v>
      </c>
      <c r="C21" s="190" t="s">
        <v>953</v>
      </c>
      <c r="D21" s="132" t="s">
        <v>940</v>
      </c>
      <c r="G21" s="4"/>
      <c r="H21" s="132"/>
      <c r="I21" s="132"/>
      <c r="J21" s="132"/>
      <c r="K21" s="132"/>
      <c r="L21" s="132"/>
      <c r="M21" s="132"/>
      <c r="N21" s="132"/>
      <c r="O21" s="132"/>
      <c r="P21" s="4"/>
      <c r="Q21" s="4"/>
      <c r="R21" s="4"/>
      <c r="S21" s="4"/>
      <c r="T21" s="4"/>
      <c r="U21" s="4"/>
      <c r="V21" s="4"/>
      <c r="W21" s="4"/>
      <c r="X21" s="4"/>
      <c r="Y21" s="4"/>
      <c r="Z21" s="4"/>
      <c r="AA21" s="4"/>
      <c r="AB21" s="4"/>
      <c r="AC21" s="4"/>
      <c r="AD21" s="4"/>
    </row>
    <row r="22" spans="1:30" ht="15.6">
      <c r="A22" s="189"/>
      <c r="B22" s="4"/>
      <c r="C22" s="190" t="s">
        <v>954</v>
      </c>
      <c r="D22" s="132" t="s">
        <v>942</v>
      </c>
      <c r="E22" s="4"/>
      <c r="F22" s="4"/>
      <c r="G22" s="4"/>
      <c r="H22" s="132"/>
      <c r="I22" s="132"/>
      <c r="J22" s="132"/>
      <c r="K22" s="132"/>
      <c r="L22" s="132"/>
      <c r="M22" s="132"/>
      <c r="N22" s="132"/>
      <c r="O22" s="132"/>
      <c r="P22" s="4"/>
      <c r="Q22" s="4"/>
      <c r="R22" s="4"/>
      <c r="S22" s="4"/>
      <c r="T22" s="4"/>
      <c r="U22" s="4"/>
      <c r="V22" s="4"/>
      <c r="W22" s="4"/>
      <c r="X22" s="4"/>
      <c r="Y22" s="4"/>
      <c r="Z22" s="4"/>
      <c r="AA22" s="4"/>
      <c r="AB22" s="4"/>
      <c r="AC22" s="4"/>
      <c r="AD22" s="4"/>
    </row>
    <row r="23" spans="1:30" ht="15.6">
      <c r="A23" s="189"/>
      <c r="B23" s="4"/>
      <c r="C23" s="190"/>
      <c r="D23" s="132"/>
      <c r="E23" s="4"/>
      <c r="F23" s="4"/>
      <c r="G23" s="4"/>
      <c r="H23" s="132"/>
      <c r="I23" s="132"/>
      <c r="J23" s="132"/>
      <c r="K23" s="132"/>
      <c r="L23" s="132"/>
      <c r="M23" s="132"/>
      <c r="N23" s="132"/>
      <c r="O23" s="132"/>
      <c r="P23" s="4"/>
      <c r="Q23" s="4"/>
      <c r="R23" s="4"/>
      <c r="S23" s="4"/>
      <c r="T23" s="4"/>
      <c r="U23" s="4"/>
      <c r="V23" s="4"/>
      <c r="W23" s="4"/>
      <c r="X23" s="4"/>
      <c r="Y23" s="4"/>
      <c r="Z23" s="4"/>
      <c r="AA23" s="4"/>
      <c r="AB23" s="4"/>
      <c r="AC23" s="4"/>
      <c r="AD23" s="4"/>
    </row>
    <row r="24" spans="1:30" ht="15.6">
      <c r="A24" s="189" t="s">
        <v>631</v>
      </c>
      <c r="B24" s="132" t="s">
        <v>955</v>
      </c>
      <c r="C24" s="190" t="s">
        <v>956</v>
      </c>
      <c r="D24" s="132" t="s">
        <v>957</v>
      </c>
      <c r="E24" s="4"/>
      <c r="F24" s="4"/>
      <c r="G24" s="4"/>
      <c r="H24" s="132"/>
      <c r="I24" s="132"/>
      <c r="J24" s="132"/>
      <c r="K24" s="132"/>
      <c r="L24" s="132"/>
      <c r="M24" s="132"/>
      <c r="N24" s="132"/>
      <c r="O24" s="132"/>
      <c r="P24" s="4"/>
      <c r="Q24" s="4"/>
      <c r="R24" s="4"/>
      <c r="S24" s="4"/>
      <c r="T24" s="4"/>
      <c r="U24" s="4"/>
      <c r="V24" s="4"/>
      <c r="W24" s="4"/>
      <c r="X24" s="4"/>
      <c r="Y24" s="4"/>
      <c r="Z24" s="4"/>
      <c r="AA24" s="4"/>
      <c r="AB24" s="4"/>
      <c r="AC24" s="4"/>
      <c r="AD24" s="4"/>
    </row>
    <row r="25" spans="1:30" ht="15.6">
      <c r="A25" s="189"/>
      <c r="B25" s="132"/>
      <c r="C25" s="190"/>
      <c r="D25" s="132"/>
      <c r="E25" s="4"/>
      <c r="F25" s="4"/>
      <c r="G25" s="4"/>
      <c r="H25" s="132"/>
      <c r="I25" s="132"/>
      <c r="J25" s="132"/>
      <c r="K25" s="132"/>
      <c r="L25" s="132"/>
      <c r="M25" s="132"/>
      <c r="N25" s="132"/>
      <c r="O25" s="132"/>
      <c r="P25" s="4"/>
      <c r="Q25" s="4"/>
      <c r="R25" s="4"/>
      <c r="S25" s="4"/>
      <c r="T25" s="4"/>
      <c r="U25" s="4"/>
      <c r="V25" s="4"/>
      <c r="W25" s="4"/>
      <c r="X25" s="4"/>
      <c r="Y25" s="4"/>
      <c r="Z25" s="4"/>
      <c r="AA25" s="4"/>
      <c r="AB25" s="4"/>
      <c r="AC25" s="4"/>
      <c r="AD25" s="4"/>
    </row>
    <row r="26" spans="1:30" ht="15.6">
      <c r="A26" s="189"/>
      <c r="B26" s="132"/>
      <c r="C26" s="190"/>
      <c r="D26" s="4"/>
      <c r="E26" s="4"/>
      <c r="F26" s="4"/>
      <c r="G26" s="4"/>
      <c r="H26" s="132"/>
      <c r="I26" s="132"/>
      <c r="J26" s="132"/>
      <c r="K26" s="132"/>
      <c r="L26" s="132"/>
      <c r="M26" s="132"/>
      <c r="N26" s="132"/>
      <c r="O26" s="132"/>
      <c r="P26" s="4"/>
      <c r="Q26" s="4"/>
      <c r="R26" s="4"/>
      <c r="S26" s="4"/>
      <c r="T26" s="4"/>
      <c r="U26" s="4"/>
      <c r="V26" s="4"/>
      <c r="W26" s="4"/>
      <c r="X26" s="4"/>
      <c r="Y26" s="4"/>
      <c r="Z26" s="4"/>
      <c r="AA26" s="4"/>
      <c r="AB26" s="4"/>
      <c r="AC26" s="4"/>
      <c r="AD26" s="4"/>
    </row>
    <row r="27" spans="1:30" ht="15.6">
      <c r="A27" s="189"/>
      <c r="B27" s="132"/>
      <c r="C27" s="190"/>
      <c r="D27" s="4"/>
      <c r="E27" s="4"/>
      <c r="F27" s="4"/>
      <c r="G27" s="4"/>
      <c r="H27" s="132"/>
      <c r="I27" s="132"/>
      <c r="J27" s="132"/>
      <c r="K27" s="132"/>
      <c r="L27" s="132"/>
      <c r="M27" s="132"/>
      <c r="N27" s="132"/>
      <c r="O27" s="132"/>
      <c r="P27" s="4"/>
      <c r="Q27" s="4"/>
      <c r="R27" s="4"/>
      <c r="S27" s="4"/>
      <c r="T27" s="4"/>
      <c r="U27" s="4"/>
      <c r="V27" s="4"/>
      <c r="W27" s="4"/>
      <c r="X27" s="4"/>
      <c r="Y27" s="4"/>
      <c r="Z27" s="4"/>
      <c r="AA27" s="4"/>
      <c r="AB27" s="4"/>
      <c r="AC27" s="4"/>
      <c r="AD27" s="4"/>
    </row>
    <row r="28" spans="1:30" ht="15.6">
      <c r="A28" s="189"/>
      <c r="B28" s="132"/>
      <c r="C28" s="190"/>
      <c r="D28" s="4"/>
      <c r="E28" s="4"/>
      <c r="F28" s="4"/>
      <c r="G28" s="4"/>
      <c r="H28" s="132"/>
      <c r="I28" s="132"/>
      <c r="J28" s="132"/>
      <c r="K28" s="132"/>
      <c r="L28" s="132"/>
      <c r="M28" s="132"/>
      <c r="N28" s="132"/>
      <c r="O28" s="132"/>
      <c r="P28" s="4"/>
      <c r="Q28" s="4"/>
      <c r="R28" s="4"/>
      <c r="S28" s="4"/>
      <c r="T28" s="4"/>
      <c r="U28" s="4"/>
      <c r="V28" s="4"/>
      <c r="W28" s="4"/>
      <c r="X28" s="4"/>
      <c r="Y28" s="4"/>
      <c r="Z28" s="4"/>
      <c r="AA28" s="4"/>
      <c r="AB28" s="4"/>
      <c r="AC28" s="4"/>
      <c r="AD28" s="4"/>
    </row>
    <row r="29" spans="1:30" ht="15.6">
      <c r="A29" s="189"/>
      <c r="B29" s="132"/>
      <c r="C29" s="190"/>
      <c r="D29" s="4"/>
      <c r="E29" s="4"/>
      <c r="F29" s="4"/>
      <c r="G29" s="4"/>
      <c r="H29" s="132"/>
      <c r="I29" s="132"/>
      <c r="J29" s="132"/>
      <c r="K29" s="132"/>
      <c r="L29" s="132"/>
      <c r="M29" s="132"/>
      <c r="N29" s="132"/>
      <c r="O29" s="132"/>
      <c r="P29" s="4"/>
      <c r="Q29" s="4"/>
      <c r="R29" s="4"/>
      <c r="S29" s="4"/>
      <c r="T29" s="4"/>
      <c r="U29" s="4"/>
      <c r="V29" s="4"/>
      <c r="W29" s="4"/>
      <c r="X29" s="4"/>
      <c r="Y29" s="4"/>
      <c r="Z29" s="4"/>
      <c r="AA29" s="4"/>
      <c r="AB29" s="4"/>
      <c r="AC29" s="4"/>
      <c r="AD29" s="4"/>
    </row>
    <row r="30" spans="1:30" ht="15.6">
      <c r="A30" s="189"/>
      <c r="B30" s="132"/>
      <c r="C30" s="190"/>
      <c r="D30" s="4"/>
      <c r="E30" s="4"/>
      <c r="F30" s="4"/>
      <c r="G30" s="4"/>
      <c r="H30" s="132"/>
      <c r="I30" s="132"/>
      <c r="J30" s="132"/>
      <c r="K30" s="132"/>
      <c r="L30" s="132"/>
      <c r="M30" s="132"/>
      <c r="N30" s="132"/>
      <c r="O30" s="132"/>
      <c r="P30" s="4"/>
      <c r="Q30" s="4"/>
      <c r="R30" s="4"/>
      <c r="S30" s="4"/>
      <c r="T30" s="4"/>
      <c r="U30" s="4"/>
      <c r="V30" s="4"/>
      <c r="W30" s="4"/>
      <c r="X30" s="4"/>
      <c r="Y30" s="4"/>
      <c r="Z30" s="4"/>
      <c r="AA30" s="4"/>
      <c r="AB30" s="4"/>
      <c r="AC30" s="4"/>
      <c r="AD30" s="4"/>
    </row>
    <row r="31" spans="1:30" ht="15.6">
      <c r="A31" s="189"/>
      <c r="B31" s="132"/>
      <c r="C31" s="190"/>
      <c r="D31" s="4"/>
      <c r="E31" s="4"/>
      <c r="F31" s="4"/>
      <c r="G31" s="4"/>
      <c r="H31" s="132"/>
      <c r="I31" s="132"/>
      <c r="J31" s="132"/>
      <c r="K31" s="132"/>
      <c r="L31" s="132"/>
      <c r="M31" s="132"/>
      <c r="N31" s="132"/>
      <c r="O31" s="132"/>
      <c r="P31" s="4"/>
      <c r="Q31" s="4"/>
      <c r="R31" s="4"/>
      <c r="S31" s="4"/>
      <c r="T31" s="4"/>
      <c r="U31" s="4"/>
      <c r="V31" s="4"/>
      <c r="W31" s="4"/>
      <c r="X31" s="4"/>
      <c r="Y31" s="4"/>
      <c r="Z31" s="4"/>
      <c r="AA31" s="4"/>
      <c r="AB31" s="4"/>
      <c r="AC31" s="4"/>
      <c r="AD31" s="4"/>
    </row>
  </sheetData>
  <hyperlinks>
    <hyperlink ref="C6" r:id="rId1" xr:uid="{CC68A74D-0915-4C97-8CEA-D46329668CBD}"/>
    <hyperlink ref="C7" r:id="rId2" xr:uid="{52739721-1E1B-4D2A-9EDF-770D3899EB8B}"/>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EAA18BDF-E08D-4679-B424-0D3E74C5CCC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388D051E-E129-461A-8704-18EFD20BCC86}"/>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42102B3-E40A-4733-853D-C33633D343A8}"/>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2621C4D8-9506-496D-B0A8-009C39B8CE47}"/>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A7397B3F-0046-4F2D-BEF7-75EFCE0EFDEF}"/>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79AA2F9A-2EFF-4E4C-ADCB-EA5744F1DC6E}"/>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9B833F88-3C36-4039-88E8-C025D16FC8A4}"/>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074CFA61-5304-461F-A227-F676BCFE74D3}"/>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25E8136-3FF9-4991-A3BF-1735081B3ADA}"/>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5E250B3E-ABEC-4041-86D0-4F7FB48595FD}"/>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916B5F4B-2B99-4E4F-82E1-89693FB0F599}"/>
    <hyperlink ref="A1" location="Contenido!A1" display="Volver al Contenido" xr:uid="{450FFBDE-CB49-4074-B0D2-F948C86E98BA}"/>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dimension ref="A1:L34"/>
  <sheetViews>
    <sheetView showGridLines="0" topLeftCell="A4" zoomScale="80" zoomScaleNormal="80" workbookViewId="0">
      <selection activeCell="C28" sqref="C28:L32"/>
    </sheetView>
  </sheetViews>
  <sheetFormatPr baseColWidth="10" defaultColWidth="11.44140625" defaultRowHeight="14.4"/>
  <cols>
    <col min="2" max="2" width="35.109375" customWidth="1"/>
    <col min="3" max="9" width="12.5546875" bestFit="1" customWidth="1"/>
    <col min="10" max="10" width="14.6640625" bestFit="1" customWidth="1"/>
    <col min="11" max="12" width="12.88671875" bestFit="1" customWidth="1"/>
  </cols>
  <sheetData>
    <row r="1" spans="1:12">
      <c r="A1" s="1" t="s">
        <v>37</v>
      </c>
    </row>
    <row r="4" spans="1:12" ht="15.6">
      <c r="B4" s="490"/>
      <c r="C4" s="491">
        <v>2015</v>
      </c>
      <c r="D4" s="491">
        <v>2016</v>
      </c>
      <c r="E4" s="491">
        <v>2017</v>
      </c>
      <c r="F4" s="491">
        <v>2018</v>
      </c>
      <c r="G4" s="491">
        <v>2019</v>
      </c>
      <c r="H4" s="491">
        <v>2020</v>
      </c>
      <c r="I4" s="491">
        <v>2021</v>
      </c>
      <c r="J4" s="491">
        <v>2022</v>
      </c>
      <c r="K4" s="491" t="s">
        <v>1212</v>
      </c>
      <c r="L4" s="491" t="s">
        <v>1213</v>
      </c>
    </row>
    <row r="5" spans="1:12" ht="15.6">
      <c r="B5" s="495" t="s">
        <v>958</v>
      </c>
      <c r="C5" s="496">
        <f t="shared" ref="C5:E5" si="0">+SUM(C6:C7)</f>
        <v>234396.98560273973</v>
      </c>
      <c r="D5" s="496">
        <f t="shared" si="0"/>
        <v>252622.42054644809</v>
      </c>
      <c r="E5" s="496">
        <f t="shared" si="0"/>
        <v>262573.63263013703</v>
      </c>
      <c r="F5" s="496">
        <f>+SUM(F6:F7)</f>
        <v>275394.68554794521</v>
      </c>
      <c r="G5" s="496">
        <f t="shared" ref="G5:H5" si="1">+SUM(G6:G7)</f>
        <v>281299.10349315067</v>
      </c>
      <c r="H5" s="496">
        <f t="shared" si="1"/>
        <v>240459.20234972681</v>
      </c>
      <c r="I5" s="496">
        <v>310801</v>
      </c>
      <c r="J5" s="496">
        <f t="shared" ref="J5" si="2">+SUM(J6:J7)</f>
        <v>330763.66000000003</v>
      </c>
      <c r="K5" s="496">
        <f t="shared" ref="K5" si="3">+SUM(K6:K7)</f>
        <v>369476</v>
      </c>
      <c r="L5" s="496">
        <v>337559</v>
      </c>
    </row>
    <row r="6" spans="1:12" ht="15">
      <c r="B6" s="492" t="s">
        <v>959</v>
      </c>
      <c r="C6" s="509">
        <f>+C10+C14+C18+C22</f>
        <v>206428.10854794522</v>
      </c>
      <c r="D6" s="509">
        <f t="shared" ref="D6:H7" si="4">+D10+D14+D18+D22</f>
        <v>223238.48035519125</v>
      </c>
      <c r="E6" s="509">
        <f t="shared" si="4"/>
        <v>231641.57942465757</v>
      </c>
      <c r="F6" s="509">
        <f t="shared" si="4"/>
        <v>242803.26939726027</v>
      </c>
      <c r="G6" s="509">
        <f t="shared" si="4"/>
        <v>248369.98887671233</v>
      </c>
      <c r="H6" s="509">
        <f t="shared" si="4"/>
        <v>211302.40931693991</v>
      </c>
      <c r="I6" s="509">
        <v>272556</v>
      </c>
      <c r="J6" s="604">
        <f>+J10+J14+J18+J22</f>
        <v>291229.66000000003</v>
      </c>
      <c r="K6" s="604">
        <f>+K10+K14+K18+K22</f>
        <v>328451</v>
      </c>
      <c r="L6" s="604">
        <v>298100</v>
      </c>
    </row>
    <row r="7" spans="1:12" ht="15">
      <c r="B7" s="492" t="s">
        <v>960</v>
      </c>
      <c r="C7" s="509">
        <f>+C11+C15+C19+C23</f>
        <v>27968.877054794517</v>
      </c>
      <c r="D7" s="509">
        <f t="shared" si="4"/>
        <v>29383.940191256832</v>
      </c>
      <c r="E7" s="509">
        <f t="shared" si="4"/>
        <v>30932.053205479453</v>
      </c>
      <c r="F7" s="509">
        <f t="shared" si="4"/>
        <v>32591.41615068493</v>
      </c>
      <c r="G7" s="509">
        <f t="shared" si="4"/>
        <v>32929.114616438361</v>
      </c>
      <c r="H7" s="509">
        <f t="shared" si="4"/>
        <v>29156.793032786885</v>
      </c>
      <c r="I7" s="509">
        <v>38245</v>
      </c>
      <c r="J7" s="604">
        <f>+J11+J15+J19+J23</f>
        <v>39534</v>
      </c>
      <c r="K7" s="604">
        <f>+K11+K15+K19+K23</f>
        <v>41025</v>
      </c>
      <c r="L7" s="604">
        <v>39459</v>
      </c>
    </row>
    <row r="8" spans="1:12" ht="15.6">
      <c r="B8" s="493"/>
      <c r="C8" s="510"/>
      <c r="D8" s="510"/>
      <c r="E8" s="510"/>
      <c r="F8" s="510"/>
      <c r="G8" s="510"/>
      <c r="H8" s="510"/>
      <c r="I8" s="510"/>
      <c r="J8" s="510"/>
      <c r="K8" s="605"/>
      <c r="L8" s="605"/>
    </row>
    <row r="9" spans="1:12" ht="15.6">
      <c r="B9" s="495" t="s">
        <v>961</v>
      </c>
      <c r="C9" s="496">
        <f t="shared" ref="C9:E9" si="5">+SUM(C10:C11)</f>
        <v>122013.20498630138</v>
      </c>
      <c r="D9" s="496">
        <f t="shared" si="5"/>
        <v>131533.0232103825</v>
      </c>
      <c r="E9" s="496">
        <f t="shared" si="5"/>
        <v>137368.15160273973</v>
      </c>
      <c r="F9" s="496">
        <f>+SUM(F10:F11)</f>
        <v>143995.73883561644</v>
      </c>
      <c r="G9" s="496">
        <f t="shared" ref="G9:H9" si="6">+SUM(G10:G11)</f>
        <v>145446.13575342466</v>
      </c>
      <c r="H9" s="496">
        <f t="shared" si="6"/>
        <v>119753.49640710381</v>
      </c>
      <c r="I9" s="496">
        <v>156691</v>
      </c>
      <c r="J9" s="496">
        <f>+SUM(J10:J11)</f>
        <v>169298</v>
      </c>
      <c r="K9" s="496">
        <f>+SUM(K10:K11)</f>
        <v>180295</v>
      </c>
      <c r="L9" s="496">
        <v>165627</v>
      </c>
    </row>
    <row r="10" spans="1:12" ht="15.6">
      <c r="B10" s="492" t="s">
        <v>959</v>
      </c>
      <c r="C10" s="509">
        <v>103539.77347945207</v>
      </c>
      <c r="D10" s="509">
        <v>112231.77598360655</v>
      </c>
      <c r="E10" s="509">
        <v>117122.59750684933</v>
      </c>
      <c r="F10" s="509">
        <v>122543.36391780822</v>
      </c>
      <c r="G10" s="509">
        <v>124200.02038356164</v>
      </c>
      <c r="H10" s="509">
        <v>101056.61423497266</v>
      </c>
      <c r="I10" s="511">
        <v>132319</v>
      </c>
      <c r="J10" s="509">
        <v>143837</v>
      </c>
      <c r="K10" s="606">
        <v>153675</v>
      </c>
      <c r="L10" s="606">
        <v>140202</v>
      </c>
    </row>
    <row r="11" spans="1:12" ht="15.6">
      <c r="B11" s="492" t="s">
        <v>960</v>
      </c>
      <c r="C11" s="509">
        <v>18473.431506849316</v>
      </c>
      <c r="D11" s="509">
        <v>19301.247226775959</v>
      </c>
      <c r="E11" s="509">
        <v>20245.554095890413</v>
      </c>
      <c r="F11" s="509">
        <v>21452.374917808218</v>
      </c>
      <c r="G11" s="509">
        <v>21246.115369863015</v>
      </c>
      <c r="H11" s="509">
        <v>18696.882172131147</v>
      </c>
      <c r="I11" s="512">
        <v>24372</v>
      </c>
      <c r="J11" s="509">
        <v>25461</v>
      </c>
      <c r="K11" s="607">
        <v>26620</v>
      </c>
      <c r="L11" s="607">
        <v>25425</v>
      </c>
    </row>
    <row r="12" spans="1:12" ht="15.6">
      <c r="B12" s="493"/>
      <c r="C12" s="510"/>
      <c r="D12" s="510"/>
      <c r="E12" s="510"/>
      <c r="F12" s="510"/>
      <c r="G12" s="510"/>
      <c r="H12" s="510"/>
      <c r="I12" s="510"/>
      <c r="J12" s="510"/>
      <c r="K12" s="605"/>
      <c r="L12" s="605"/>
    </row>
    <row r="13" spans="1:12" ht="15.6">
      <c r="B13" s="495" t="s">
        <v>962</v>
      </c>
      <c r="C13" s="496">
        <f t="shared" ref="C13:E13" si="7">+SUM(C14:C15)</f>
        <v>38248.312671232874</v>
      </c>
      <c r="D13" s="496">
        <f t="shared" si="7"/>
        <v>41332.594262295082</v>
      </c>
      <c r="E13" s="496">
        <f t="shared" si="7"/>
        <v>42403.794726027394</v>
      </c>
      <c r="F13" s="496">
        <f>+SUM(F14:F15)</f>
        <v>43920.385342465757</v>
      </c>
      <c r="G13" s="496">
        <f t="shared" ref="G13:H13" si="8">+SUM(G14:G15)</f>
        <v>45886.633904109585</v>
      </c>
      <c r="H13" s="496">
        <f t="shared" si="8"/>
        <v>41594.960177595633</v>
      </c>
      <c r="I13" s="496">
        <v>53875</v>
      </c>
      <c r="J13" s="496">
        <f>+SUM(J14:J15)</f>
        <v>55510</v>
      </c>
      <c r="K13" s="496">
        <f>+SUM(K14:K15)</f>
        <v>65326</v>
      </c>
      <c r="L13" s="496">
        <v>65326</v>
      </c>
    </row>
    <row r="14" spans="1:12" ht="15.6">
      <c r="B14" s="492" t="s">
        <v>959</v>
      </c>
      <c r="C14" s="509">
        <v>32587.076712328766</v>
      </c>
      <c r="D14" s="509">
        <v>35398.664207650276</v>
      </c>
      <c r="E14" s="509">
        <v>36128.758356164384</v>
      </c>
      <c r="F14" s="509">
        <v>37421.191506849318</v>
      </c>
      <c r="G14" s="509">
        <v>39130.029315068488</v>
      </c>
      <c r="H14" s="509">
        <v>35096.375683060112</v>
      </c>
      <c r="I14" s="511">
        <v>45341</v>
      </c>
      <c r="J14" s="509">
        <v>47085</v>
      </c>
      <c r="K14" s="606">
        <v>56668</v>
      </c>
      <c r="L14" s="606">
        <v>56668</v>
      </c>
    </row>
    <row r="15" spans="1:12" ht="15.6">
      <c r="B15" s="492" t="s">
        <v>960</v>
      </c>
      <c r="C15" s="509">
        <v>5661.2359589041098</v>
      </c>
      <c r="D15" s="509">
        <v>5933.9300546448085</v>
      </c>
      <c r="E15" s="509">
        <v>6275.0363698630135</v>
      </c>
      <c r="F15" s="509">
        <v>6499.1938356164383</v>
      </c>
      <c r="G15" s="509">
        <v>6756.6045890410951</v>
      </c>
      <c r="H15" s="509">
        <v>6498.5844945355202</v>
      </c>
      <c r="I15" s="512">
        <v>8534</v>
      </c>
      <c r="J15" s="509">
        <v>8425</v>
      </c>
      <c r="K15" s="607">
        <v>8658</v>
      </c>
      <c r="L15" s="607">
        <v>8658</v>
      </c>
    </row>
    <row r="16" spans="1:12" ht="15.6">
      <c r="B16" s="493"/>
      <c r="C16" s="510"/>
      <c r="D16" s="510"/>
      <c r="E16" s="510"/>
      <c r="F16" s="510"/>
      <c r="G16" s="510"/>
      <c r="H16" s="510"/>
      <c r="I16" s="510"/>
      <c r="J16" s="510"/>
      <c r="K16" s="605"/>
      <c r="L16" s="605"/>
    </row>
    <row r="17" spans="2:12" ht="15.6">
      <c r="B17" s="495" t="s">
        <v>963</v>
      </c>
      <c r="C17" s="496">
        <f t="shared" ref="C17:E17" si="9">+SUM(C18:C19)</f>
        <v>46102.055958904108</v>
      </c>
      <c r="D17" s="496">
        <f t="shared" si="9"/>
        <v>49904.637704918037</v>
      </c>
      <c r="E17" s="496">
        <f t="shared" si="9"/>
        <v>51654.302465753433</v>
      </c>
      <c r="F17" s="496">
        <f>+SUM(F18:F19)</f>
        <v>54305.041301369871</v>
      </c>
      <c r="G17" s="496">
        <f t="shared" ref="G17:H17" si="10">+SUM(G18:G19)</f>
        <v>56320.221232876713</v>
      </c>
      <c r="H17" s="496">
        <f t="shared" si="10"/>
        <v>49065.719603825142</v>
      </c>
      <c r="I17" s="496">
        <v>62510</v>
      </c>
      <c r="J17" s="496">
        <f>+SUM(J18:J19)</f>
        <v>65841.66</v>
      </c>
      <c r="K17" s="496">
        <f>+SUM(K18:K19)</f>
        <v>77459</v>
      </c>
      <c r="L17" s="496">
        <v>66445</v>
      </c>
    </row>
    <row r="18" spans="2:12" ht="15.6">
      <c r="B18" s="492" t="s">
        <v>959</v>
      </c>
      <c r="C18" s="513">
        <v>43458.596164383562</v>
      </c>
      <c r="D18" s="513">
        <v>47014.563387978145</v>
      </c>
      <c r="E18" s="513">
        <v>48543.316986301375</v>
      </c>
      <c r="F18" s="513">
        <v>51042.175342465758</v>
      </c>
      <c r="G18" s="513">
        <v>52867.458356164381</v>
      </c>
      <c r="H18" s="513">
        <v>46320.47978142077</v>
      </c>
      <c r="I18" s="514">
        <v>58807</v>
      </c>
      <c r="J18" s="509">
        <v>61909.66</v>
      </c>
      <c r="K18" s="713">
        <v>73603</v>
      </c>
      <c r="L18" s="713">
        <v>62780</v>
      </c>
    </row>
    <row r="19" spans="2:12" ht="15.6">
      <c r="B19" s="492" t="s">
        <v>960</v>
      </c>
      <c r="C19" s="513">
        <v>2643.4597945205478</v>
      </c>
      <c r="D19" s="513">
        <v>2890.0743169398907</v>
      </c>
      <c r="E19" s="513">
        <v>3110.9854794520547</v>
      </c>
      <c r="F19" s="513">
        <v>3262.8659589041094</v>
      </c>
      <c r="G19" s="513">
        <v>3452.7628767123292</v>
      </c>
      <c r="H19" s="513">
        <v>2745.2398224043718</v>
      </c>
      <c r="I19" s="515">
        <v>3703</v>
      </c>
      <c r="J19" s="509">
        <v>3932</v>
      </c>
      <c r="K19" s="609">
        <v>3856</v>
      </c>
      <c r="L19" s="609">
        <v>3665</v>
      </c>
    </row>
    <row r="20" spans="2:12" ht="15.6">
      <c r="B20" s="493"/>
      <c r="C20" s="510"/>
      <c r="D20" s="510"/>
      <c r="E20" s="510"/>
      <c r="F20" s="510"/>
      <c r="G20" s="510"/>
      <c r="H20" s="510"/>
      <c r="I20" s="510"/>
      <c r="J20" s="510"/>
      <c r="K20" s="605"/>
      <c r="L20" s="605"/>
    </row>
    <row r="21" spans="2:12" ht="15.6">
      <c r="B21" s="495" t="s">
        <v>964</v>
      </c>
      <c r="C21" s="496">
        <f t="shared" ref="C21:E21" si="11">+SUM(C22:C23)</f>
        <v>28033.411986301366</v>
      </c>
      <c r="D21" s="496">
        <f t="shared" si="11"/>
        <v>29852.16536885246</v>
      </c>
      <c r="E21" s="496">
        <f t="shared" si="11"/>
        <v>31147.383835616438</v>
      </c>
      <c r="F21" s="496">
        <f>+SUM(F22:F23)</f>
        <v>33173.520068493155</v>
      </c>
      <c r="G21" s="496">
        <f t="shared" ref="G21:H21" si="12">+SUM(G22:G23)</f>
        <v>33646.112602739726</v>
      </c>
      <c r="H21" s="496">
        <f t="shared" si="12"/>
        <v>30045.026161202186</v>
      </c>
      <c r="I21" s="496">
        <v>37725</v>
      </c>
      <c r="J21" s="496">
        <f>+SUM(J22:J23)</f>
        <v>40114</v>
      </c>
      <c r="K21" s="496">
        <f>+SUM(K22:K23)</f>
        <v>46396</v>
      </c>
      <c r="L21" s="496">
        <v>40161</v>
      </c>
    </row>
    <row r="22" spans="2:12" ht="15.6">
      <c r="B22" s="492" t="s">
        <v>959</v>
      </c>
      <c r="C22" s="513">
        <v>26842.662191780819</v>
      </c>
      <c r="D22" s="513">
        <v>28593.476775956286</v>
      </c>
      <c r="E22" s="513">
        <v>29846.906575342466</v>
      </c>
      <c r="F22" s="513">
        <v>31796.538630136987</v>
      </c>
      <c r="G22" s="513">
        <v>32172.480821917808</v>
      </c>
      <c r="H22" s="513">
        <v>28828.93961748634</v>
      </c>
      <c r="I22" s="514">
        <v>36089</v>
      </c>
      <c r="J22" s="509">
        <v>38398</v>
      </c>
      <c r="K22" s="608">
        <v>44505</v>
      </c>
      <c r="L22" s="608">
        <v>38450</v>
      </c>
    </row>
    <row r="23" spans="2:12" ht="15.6">
      <c r="B23" s="492" t="s">
        <v>960</v>
      </c>
      <c r="C23" s="513">
        <v>1190.749794520548</v>
      </c>
      <c r="D23" s="513">
        <v>1258.6885928961749</v>
      </c>
      <c r="E23" s="513">
        <v>1300.4772602739724</v>
      </c>
      <c r="F23" s="513">
        <v>1376.9814383561645</v>
      </c>
      <c r="G23" s="513">
        <v>1473.6317808219178</v>
      </c>
      <c r="H23" s="513">
        <v>1216.086543715847</v>
      </c>
      <c r="I23" s="515">
        <v>1636</v>
      </c>
      <c r="J23" s="509">
        <v>1716</v>
      </c>
      <c r="K23" s="609">
        <v>1891</v>
      </c>
      <c r="L23" s="609">
        <v>1711</v>
      </c>
    </row>
    <row r="25" spans="2:12">
      <c r="B25" t="s">
        <v>965</v>
      </c>
    </row>
    <row r="26" spans="2:12">
      <c r="B26" t="s">
        <v>966</v>
      </c>
    </row>
    <row r="28" spans="2:12" ht="15.6">
      <c r="B28" s="495" t="s">
        <v>967</v>
      </c>
      <c r="C28" s="496">
        <v>2015</v>
      </c>
      <c r="D28" s="496">
        <v>2016</v>
      </c>
      <c r="E28" s="496">
        <v>2017</v>
      </c>
      <c r="F28" s="496">
        <v>2018</v>
      </c>
      <c r="G28" s="496">
        <v>2019</v>
      </c>
      <c r="H28" s="496">
        <v>2020</v>
      </c>
      <c r="I28" s="496">
        <v>2021</v>
      </c>
      <c r="J28" s="496">
        <v>2022</v>
      </c>
      <c r="K28" s="496" t="str">
        <f>+K4</f>
        <v>1T2023</v>
      </c>
      <c r="L28" s="496" t="str">
        <f>+L4</f>
        <v>2T2023</v>
      </c>
    </row>
    <row r="29" spans="2:12" ht="15">
      <c r="B29" s="492" t="s">
        <v>968</v>
      </c>
      <c r="C29" s="494">
        <v>3887.2465753424658</v>
      </c>
      <c r="D29" s="494">
        <v>3980.8142076502731</v>
      </c>
      <c r="E29" s="494">
        <v>3953.6383561643829</v>
      </c>
      <c r="F29" s="494">
        <v>4192.139726027397</v>
      </c>
      <c r="G29" s="494">
        <v>4476.7917808219172</v>
      </c>
      <c r="H29" s="494">
        <v>2652.3743169398908</v>
      </c>
      <c r="I29" s="494">
        <v>3963</v>
      </c>
      <c r="J29" s="494">
        <v>4782</v>
      </c>
      <c r="K29" s="494">
        <v>5177</v>
      </c>
      <c r="L29" s="494">
        <v>4983</v>
      </c>
    </row>
    <row r="30" spans="2:12" ht="15">
      <c r="B30" s="492" t="s">
        <v>969</v>
      </c>
      <c r="C30" s="494">
        <v>5590.682191780822</v>
      </c>
      <c r="D30" s="494">
        <v>5715.6912568306016</v>
      </c>
      <c r="E30" s="494">
        <v>5679.6136986301372</v>
      </c>
      <c r="F30" s="494">
        <v>5928.2191780821922</v>
      </c>
      <c r="G30" s="494">
        <v>6122.2986301369874</v>
      </c>
      <c r="H30" s="494">
        <v>3829.6803278688521</v>
      </c>
      <c r="I30" s="494">
        <v>5932</v>
      </c>
      <c r="J30" s="494">
        <v>6885</v>
      </c>
      <c r="K30" s="494">
        <v>7487</v>
      </c>
      <c r="L30" s="494">
        <v>7216</v>
      </c>
    </row>
    <row r="31" spans="2:12" ht="15">
      <c r="B31" s="492" t="s">
        <v>970</v>
      </c>
      <c r="C31" s="494">
        <v>1213.4356164383562</v>
      </c>
      <c r="D31" s="494">
        <v>1187.5027322404371</v>
      </c>
      <c r="E31" s="494">
        <v>1239.4712328767123</v>
      </c>
      <c r="F31" s="494">
        <v>1643.7972602739724</v>
      </c>
      <c r="G31" s="494">
        <v>1750.0465753424655</v>
      </c>
      <c r="H31" s="494">
        <v>1031.6202185792349</v>
      </c>
      <c r="I31" s="494">
        <v>1279</v>
      </c>
      <c r="J31" s="494">
        <v>3645</v>
      </c>
      <c r="K31" s="494">
        <v>9880</v>
      </c>
      <c r="L31" s="494">
        <v>10056</v>
      </c>
    </row>
    <row r="32" spans="2:12" ht="15">
      <c r="B32" s="492" t="s">
        <v>971</v>
      </c>
      <c r="C32" s="494">
        <v>0</v>
      </c>
      <c r="D32" s="494">
        <v>0</v>
      </c>
      <c r="E32" s="494">
        <v>0</v>
      </c>
      <c r="F32" s="494">
        <v>361.47368421052636</v>
      </c>
      <c r="G32" s="494">
        <v>1651.766304347826</v>
      </c>
      <c r="H32" s="494">
        <v>1184.4289617486338</v>
      </c>
      <c r="I32" s="494">
        <v>1999</v>
      </c>
      <c r="J32" s="494">
        <v>5108</v>
      </c>
      <c r="K32" s="494">
        <v>5239</v>
      </c>
      <c r="L32" s="494">
        <v>5360</v>
      </c>
    </row>
    <row r="34" spans="2:2">
      <c r="B34" t="s">
        <v>972</v>
      </c>
    </row>
  </sheetData>
  <phoneticPr fontId="194"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45"/>
  <sheetViews>
    <sheetView showGridLines="0" zoomScaleNormal="100" workbookViewId="0">
      <selection activeCell="K34" sqref="K34"/>
    </sheetView>
  </sheetViews>
  <sheetFormatPr baseColWidth="10" defaultColWidth="11.44140625" defaultRowHeight="14.4"/>
  <cols>
    <col min="2" max="2" width="34.109375" customWidth="1"/>
    <col min="3" max="6" width="13.5546875" customWidth="1"/>
    <col min="7" max="8" width="12.109375" customWidth="1"/>
  </cols>
  <sheetData>
    <row r="1" spans="1:8">
      <c r="A1" s="1" t="s">
        <v>37</v>
      </c>
    </row>
    <row r="2" spans="1:8">
      <c r="A2" s="1"/>
    </row>
    <row r="3" spans="1:8">
      <c r="A3" s="1"/>
    </row>
    <row r="4" spans="1:8">
      <c r="A4" s="1"/>
    </row>
    <row r="6" spans="1:8" ht="15.6">
      <c r="B6" s="11" t="s">
        <v>973</v>
      </c>
      <c r="C6" s="67"/>
      <c r="D6" s="67"/>
    </row>
    <row r="7" spans="1:8" ht="15.6">
      <c r="B7" s="13" t="s">
        <v>39</v>
      </c>
      <c r="C7" s="67"/>
      <c r="D7" s="67"/>
    </row>
    <row r="8" spans="1:8" ht="15.6">
      <c r="B8" s="67"/>
      <c r="C8" s="67"/>
      <c r="D8" s="67"/>
    </row>
    <row r="9" spans="1:8" ht="15">
      <c r="A9" s="48"/>
      <c r="B9" s="628" t="s">
        <v>666</v>
      </c>
      <c r="C9" s="618">
        <v>2018</v>
      </c>
      <c r="D9" s="618">
        <v>2019</v>
      </c>
      <c r="E9" s="246">
        <v>2020</v>
      </c>
      <c r="F9" s="246">
        <v>2021</v>
      </c>
      <c r="G9" s="246">
        <v>2022</v>
      </c>
      <c r="H9" s="714">
        <v>2023</v>
      </c>
    </row>
    <row r="10" spans="1:8" ht="15.6">
      <c r="B10" s="72" t="s">
        <v>16</v>
      </c>
      <c r="C10" s="107">
        <v>99053.963671999998</v>
      </c>
      <c r="D10" s="107">
        <v>135781.84656100001</v>
      </c>
      <c r="E10" s="107">
        <v>170616.69114169001</v>
      </c>
      <c r="F10" s="107">
        <v>146811.89536550001</v>
      </c>
      <c r="G10" s="107">
        <v>243021.68674958378</v>
      </c>
      <c r="H10" s="107">
        <v>189999.46837648429</v>
      </c>
    </row>
    <row r="11" spans="1:8" ht="15.6">
      <c r="B11" s="72" t="s">
        <v>640</v>
      </c>
      <c r="C11" s="107">
        <v>12086.495009</v>
      </c>
      <c r="D11" s="107">
        <v>6041.7694629999996</v>
      </c>
      <c r="E11" s="107">
        <v>7981.3869631499992</v>
      </c>
      <c r="F11" s="107">
        <v>9283.7395854799997</v>
      </c>
      <c r="G11" s="107">
        <v>3064.8228000939739</v>
      </c>
      <c r="H11" s="107">
        <v>0</v>
      </c>
    </row>
    <row r="12" spans="1:8" ht="15.6">
      <c r="B12" s="72" t="s">
        <v>15</v>
      </c>
      <c r="C12" s="107">
        <v>21978.812180000001</v>
      </c>
      <c r="D12" s="107">
        <v>23829.360186000002</v>
      </c>
      <c r="E12" s="107">
        <v>29647.467782</v>
      </c>
      <c r="F12" s="107">
        <v>26481.168276</v>
      </c>
      <c r="G12" s="107">
        <v>34282.706503000001</v>
      </c>
      <c r="H12" s="107">
        <v>42731.616240000003</v>
      </c>
    </row>
    <row r="13" spans="1:8" ht="15.6">
      <c r="B13" s="72" t="s">
        <v>641</v>
      </c>
      <c r="C13" s="107">
        <v>1557.0854939999999</v>
      </c>
      <c r="D13" s="107">
        <v>465</v>
      </c>
      <c r="E13" s="107">
        <v>750</v>
      </c>
      <c r="F13" s="107">
        <v>613.07515100000001</v>
      </c>
      <c r="G13" s="107">
        <v>259.41804319199997</v>
      </c>
      <c r="H13" s="107">
        <v>190.77451585</v>
      </c>
    </row>
    <row r="14" spans="1:8" ht="15.6">
      <c r="A14" s="48"/>
      <c r="B14" s="218" t="s">
        <v>643</v>
      </c>
      <c r="C14" s="219">
        <v>134676.356355</v>
      </c>
      <c r="D14" s="219">
        <v>166117.97621000002</v>
      </c>
      <c r="E14" s="219">
        <v>208995.54588684</v>
      </c>
      <c r="F14" s="219">
        <v>183189.87837798003</v>
      </c>
      <c r="G14" s="219">
        <v>280628.63409586978</v>
      </c>
      <c r="H14" s="715">
        <v>232921.8591323343</v>
      </c>
    </row>
    <row r="15" spans="1:8" ht="15.6">
      <c r="B15" s="198"/>
      <c r="C15" s="200"/>
      <c r="D15" s="200"/>
      <c r="E15" s="200"/>
      <c r="F15" s="200"/>
    </row>
    <row r="16" spans="1:8" ht="15">
      <c r="B16" s="628" t="s">
        <v>666</v>
      </c>
      <c r="C16" s="618">
        <v>2018</v>
      </c>
      <c r="D16" s="618">
        <v>2019</v>
      </c>
      <c r="E16" s="618">
        <v>2020</v>
      </c>
      <c r="F16" s="618">
        <v>2021</v>
      </c>
      <c r="G16" s="618">
        <v>2022</v>
      </c>
      <c r="H16" s="716">
        <v>2023</v>
      </c>
    </row>
    <row r="17" spans="1:8" ht="15.6">
      <c r="B17" s="72" t="s">
        <v>849</v>
      </c>
      <c r="C17" s="107">
        <v>7193.5210747499996</v>
      </c>
      <c r="D17" s="107">
        <v>9452.8463776000008</v>
      </c>
      <c r="E17" s="107">
        <v>47983.215443139998</v>
      </c>
      <c r="F17" s="107">
        <v>9705.8868289999991</v>
      </c>
      <c r="G17" s="107">
        <v>4931.5423982399998</v>
      </c>
      <c r="H17" s="107">
        <v>5424.828297</v>
      </c>
    </row>
    <row r="18" spans="1:8" ht="15.6">
      <c r="B18" s="72" t="s">
        <v>21</v>
      </c>
      <c r="C18" s="107">
        <v>48526.724999999999</v>
      </c>
      <c r="D18" s="107">
        <v>55840.5</v>
      </c>
      <c r="E18" s="107">
        <v>81644.284842530004</v>
      </c>
      <c r="F18" s="107">
        <v>108603.41851702001</v>
      </c>
      <c r="G18" s="107">
        <v>67983.758895999999</v>
      </c>
      <c r="H18" s="107">
        <v>87569.047890000002</v>
      </c>
    </row>
    <row r="19" spans="1:8" ht="15.6">
      <c r="B19" s="72" t="s">
        <v>22</v>
      </c>
      <c r="C19" s="107">
        <v>7826.9033983999998</v>
      </c>
      <c r="D19" s="107">
        <v>10403.445011</v>
      </c>
      <c r="E19" s="107">
        <v>17637.024750880002</v>
      </c>
      <c r="F19" s="107">
        <v>0</v>
      </c>
      <c r="G19" s="107">
        <v>12071.713282729999</v>
      </c>
      <c r="H19" s="107">
        <v>18008.02363</v>
      </c>
    </row>
    <row r="20" spans="1:8" ht="15.6">
      <c r="B20" s="72" t="s">
        <v>601</v>
      </c>
      <c r="C20" s="107">
        <v>111221.75999999999</v>
      </c>
      <c r="D20" s="107">
        <v>120987.75</v>
      </c>
      <c r="E20" s="107">
        <v>151338.72</v>
      </c>
      <c r="F20" s="107">
        <v>256574.67</v>
      </c>
      <c r="G20" s="107">
        <v>45848.04</v>
      </c>
      <c r="H20" s="107">
        <v>190346.69701800001</v>
      </c>
    </row>
    <row r="21" spans="1:8" ht="15.6">
      <c r="B21" s="72" t="s">
        <v>522</v>
      </c>
      <c r="C21" s="107">
        <v>8549.504379</v>
      </c>
      <c r="D21" s="107">
        <v>4778.2111064999999</v>
      </c>
      <c r="E21" s="107">
        <v>12381.39003255</v>
      </c>
      <c r="F21" s="107">
        <v>0</v>
      </c>
      <c r="G21" s="107">
        <v>0</v>
      </c>
      <c r="H21" s="107">
        <v>0</v>
      </c>
    </row>
    <row r="22" spans="1:8" ht="15.6">
      <c r="B22" s="72" t="s">
        <v>974</v>
      </c>
      <c r="C22" s="107">
        <v>2365.3841248799999</v>
      </c>
      <c r="D22" s="107">
        <v>2890.2296939399998</v>
      </c>
      <c r="E22" s="107">
        <v>3578.1572996599998</v>
      </c>
      <c r="F22" s="107">
        <v>3350.24473266</v>
      </c>
      <c r="G22" s="107">
        <v>1763.0723230000001</v>
      </c>
      <c r="H22" s="107">
        <v>2058.9991530000002</v>
      </c>
    </row>
    <row r="23" spans="1:8" ht="15.6">
      <c r="B23" s="72" t="s">
        <v>975</v>
      </c>
      <c r="C23" s="107">
        <v>2719.3969699999998</v>
      </c>
      <c r="D23" s="107">
        <v>0</v>
      </c>
      <c r="E23" s="107">
        <v>0</v>
      </c>
      <c r="F23" s="107">
        <v>53833.514428930001</v>
      </c>
      <c r="G23" s="619">
        <v>0</v>
      </c>
      <c r="H23" s="717">
        <v>75065.288587000003</v>
      </c>
    </row>
    <row r="24" spans="1:8" ht="15.6">
      <c r="B24" s="506" t="s">
        <v>976</v>
      </c>
      <c r="C24" s="107">
        <v>0</v>
      </c>
      <c r="D24" s="107">
        <v>275414.48725000001</v>
      </c>
      <c r="E24" s="107">
        <v>172754.18018920001</v>
      </c>
      <c r="F24" s="107">
        <v>433972.92097229999</v>
      </c>
      <c r="G24" s="107">
        <v>239800.079654</v>
      </c>
      <c r="H24" s="107">
        <v>208623.779236</v>
      </c>
    </row>
    <row r="25" spans="1:8" ht="15.6">
      <c r="B25" s="72" t="s">
        <v>977</v>
      </c>
      <c r="C25" s="107">
        <v>0</v>
      </c>
      <c r="D25" s="107">
        <v>0</v>
      </c>
      <c r="E25" s="107">
        <v>71698.663217179987</v>
      </c>
      <c r="F25" s="107">
        <v>85724.768589929998</v>
      </c>
      <c r="G25" s="107">
        <v>207114.83360525998</v>
      </c>
      <c r="H25" s="107">
        <v>140119.26997399816</v>
      </c>
    </row>
    <row r="26" spans="1:8" ht="15.6">
      <c r="A26" s="48"/>
      <c r="B26" s="218" t="s">
        <v>978</v>
      </c>
      <c r="C26" s="219">
        <v>188403.19494702996</v>
      </c>
      <c r="D26" s="219">
        <v>479767.46943904005</v>
      </c>
      <c r="E26" s="219">
        <v>559015.6357751399</v>
      </c>
      <c r="F26" s="219">
        <v>951765.42406984011</v>
      </c>
      <c r="G26" s="219">
        <v>579513.04015923</v>
      </c>
      <c r="H26" s="715">
        <v>727215.93378499814</v>
      </c>
    </row>
    <row r="27" spans="1:8" ht="15.6">
      <c r="B27" s="199"/>
      <c r="C27" s="201"/>
      <c r="D27" s="201"/>
      <c r="E27" s="201"/>
      <c r="F27" s="201"/>
      <c r="H27" s="535"/>
    </row>
    <row r="28" spans="1:8" ht="15.6">
      <c r="A28" s="48"/>
      <c r="B28" s="218" t="s">
        <v>979</v>
      </c>
      <c r="C28" s="219">
        <v>323079.55130202998</v>
      </c>
      <c r="D28" s="219">
        <v>645885.44564904005</v>
      </c>
      <c r="E28" s="219">
        <v>768011.18166197988</v>
      </c>
      <c r="F28" s="219">
        <v>1134955.3024478201</v>
      </c>
      <c r="G28" s="219">
        <v>860141.67425509985</v>
      </c>
      <c r="H28" s="715">
        <v>960137.79291733238</v>
      </c>
    </row>
    <row r="31" spans="1:8" ht="15">
      <c r="A31" s="48"/>
      <c r="B31" s="11" t="s">
        <v>980</v>
      </c>
    </row>
    <row r="32" spans="1:8" ht="15">
      <c r="B32" s="13" t="s">
        <v>39</v>
      </c>
    </row>
    <row r="34" spans="1:8">
      <c r="B34" s="629"/>
      <c r="C34" s="630">
        <v>2018</v>
      </c>
      <c r="D34" s="630">
        <v>2019</v>
      </c>
      <c r="E34" s="630">
        <v>2020</v>
      </c>
      <c r="F34" s="630">
        <v>2021</v>
      </c>
      <c r="G34" s="620">
        <v>2022</v>
      </c>
      <c r="H34" s="620">
        <v>2023</v>
      </c>
    </row>
    <row r="35" spans="1:8">
      <c r="B35" s="38" t="s">
        <v>981</v>
      </c>
      <c r="C35" s="9">
        <v>600361.41854800005</v>
      </c>
      <c r="D35" s="9">
        <v>611438.19748800003</v>
      </c>
      <c r="E35" s="9">
        <v>747682.57845000003</v>
      </c>
      <c r="F35" s="9">
        <v>1443303.9883739999</v>
      </c>
      <c r="G35" s="9">
        <v>829650.65541962243</v>
      </c>
      <c r="H35" s="9">
        <v>1929575.0652021591</v>
      </c>
    </row>
    <row r="36" spans="1:8">
      <c r="B36" s="631" t="s">
        <v>982</v>
      </c>
      <c r="C36" s="632">
        <v>542</v>
      </c>
      <c r="D36" s="632">
        <v>552</v>
      </c>
      <c r="E36" s="632">
        <v>675</v>
      </c>
      <c r="F36" s="632">
        <v>1303</v>
      </c>
      <c r="G36" s="650">
        <v>749</v>
      </c>
      <c r="H36" s="650">
        <v>1742</v>
      </c>
    </row>
    <row r="37" spans="1:8">
      <c r="A37" s="48"/>
    </row>
    <row r="38" spans="1:8" ht="15">
      <c r="A38" s="48"/>
      <c r="B38" s="220" t="s">
        <v>983</v>
      </c>
    </row>
    <row r="39" spans="1:8" ht="15">
      <c r="B39" s="13" t="s">
        <v>1167</v>
      </c>
    </row>
    <row r="40" spans="1:8" ht="15">
      <c r="B40" s="13" t="s">
        <v>984</v>
      </c>
    </row>
    <row r="45" spans="1:8">
      <c r="C45" s="447"/>
      <c r="D45" s="447"/>
      <c r="E45" s="447"/>
      <c r="F45" s="447"/>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dimension ref="A1:G48"/>
  <sheetViews>
    <sheetView showGridLines="0" zoomScale="90" zoomScaleNormal="90" workbookViewId="0">
      <selection activeCell="C4" sqref="C4"/>
    </sheetView>
  </sheetViews>
  <sheetFormatPr baseColWidth="10" defaultColWidth="11.44140625" defaultRowHeight="14.4"/>
  <cols>
    <col min="1" max="1" width="4.5546875" style="230" customWidth="1"/>
    <col min="2" max="2" width="19.44140625" style="230" customWidth="1"/>
    <col min="3" max="3" width="62.44140625" style="230" bestFit="1" customWidth="1"/>
    <col min="4" max="4" width="19.88671875" style="230" customWidth="1"/>
    <col min="5" max="16384" width="11.44140625" style="230"/>
  </cols>
  <sheetData>
    <row r="1" spans="1:4" customFormat="1">
      <c r="A1" s="1" t="s">
        <v>37</v>
      </c>
    </row>
    <row r="2" spans="1:4" customFormat="1">
      <c r="A2" s="1"/>
    </row>
    <row r="3" spans="1:4" customFormat="1">
      <c r="A3" s="1"/>
    </row>
    <row r="4" spans="1:4" customFormat="1">
      <c r="A4" s="1"/>
    </row>
    <row r="5" spans="1:4" customFormat="1">
      <c r="A5" s="1"/>
    </row>
    <row r="6" spans="1:4" customFormat="1"/>
    <row r="7" spans="1:4" ht="16.5" customHeight="1">
      <c r="B7" s="800" t="s">
        <v>985</v>
      </c>
      <c r="C7" s="800"/>
      <c r="D7" s="800"/>
    </row>
    <row r="8" spans="1:4" s="282" customFormat="1" ht="42" customHeight="1" thickBot="1">
      <c r="B8" s="341" t="s">
        <v>489</v>
      </c>
      <c r="C8" s="341" t="s">
        <v>986</v>
      </c>
      <c r="D8" s="757" t="s">
        <v>987</v>
      </c>
    </row>
    <row r="9" spans="1:4" ht="15" thickBot="1">
      <c r="B9" s="801" t="s">
        <v>619</v>
      </c>
      <c r="C9" s="752" t="s">
        <v>988</v>
      </c>
      <c r="D9" s="758" t="s">
        <v>1159</v>
      </c>
    </row>
    <row r="10" spans="1:4" ht="15" thickBot="1">
      <c r="B10" s="802"/>
      <c r="C10" s="754" t="s">
        <v>990</v>
      </c>
      <c r="D10" s="758" t="s">
        <v>1159</v>
      </c>
    </row>
    <row r="11" spans="1:4" ht="15" thickBot="1">
      <c r="B11" s="803"/>
      <c r="C11" s="754" t="s">
        <v>989</v>
      </c>
      <c r="D11" s="758" t="s">
        <v>1015</v>
      </c>
    </row>
    <row r="12" spans="1:4" ht="15" thickBot="1">
      <c r="B12" s="804" t="s">
        <v>741</v>
      </c>
      <c r="C12" s="754" t="s">
        <v>992</v>
      </c>
      <c r="D12" s="758" t="s">
        <v>995</v>
      </c>
    </row>
    <row r="13" spans="1:4" ht="15" thickBot="1">
      <c r="B13" s="802"/>
      <c r="C13" s="754" t="s">
        <v>993</v>
      </c>
      <c r="D13" s="758" t="s">
        <v>995</v>
      </c>
    </row>
    <row r="14" spans="1:4" ht="15" thickBot="1">
      <c r="B14" s="802"/>
      <c r="C14" s="754" t="s">
        <v>994</v>
      </c>
      <c r="D14" s="758" t="s">
        <v>1200</v>
      </c>
    </row>
    <row r="15" spans="1:4" ht="15" thickBot="1">
      <c r="B15" s="802"/>
      <c r="C15" s="754" t="s">
        <v>1214</v>
      </c>
      <c r="D15" s="758" t="s">
        <v>1005</v>
      </c>
    </row>
    <row r="16" spans="1:4" ht="15" thickBot="1">
      <c r="B16" s="802"/>
      <c r="C16" s="754" t="s">
        <v>1215</v>
      </c>
      <c r="D16" s="758" t="s">
        <v>1161</v>
      </c>
    </row>
    <row r="17" spans="2:4" ht="15" thickBot="1">
      <c r="B17" s="802"/>
      <c r="C17" s="754" t="s">
        <v>997</v>
      </c>
      <c r="D17" s="758" t="s">
        <v>1161</v>
      </c>
    </row>
    <row r="18" spans="2:4" ht="15" thickBot="1">
      <c r="B18" s="802"/>
      <c r="C18" s="754" t="s">
        <v>1216</v>
      </c>
      <c r="D18" s="758" t="s">
        <v>1000</v>
      </c>
    </row>
    <row r="19" spans="2:4" ht="15" thickBot="1">
      <c r="B19" s="802"/>
      <c r="C19" s="754" t="s">
        <v>1217</v>
      </c>
      <c r="D19" s="758" t="s">
        <v>1218</v>
      </c>
    </row>
    <row r="20" spans="2:4" ht="15" thickBot="1">
      <c r="B20" s="802"/>
      <c r="C20" s="754" t="s">
        <v>998</v>
      </c>
      <c r="D20" s="758" t="s">
        <v>1158</v>
      </c>
    </row>
    <row r="21" spans="2:4" ht="15" thickBot="1">
      <c r="B21" s="802"/>
      <c r="C21" s="754" t="s">
        <v>1219</v>
      </c>
      <c r="D21" s="758" t="s">
        <v>1229</v>
      </c>
    </row>
    <row r="22" spans="2:4" ht="15" thickBot="1">
      <c r="B22" s="803"/>
      <c r="C22" s="754" t="s">
        <v>999</v>
      </c>
      <c r="D22" s="758" t="s">
        <v>1230</v>
      </c>
    </row>
    <row r="23" spans="2:4" ht="15" thickBot="1">
      <c r="B23" s="753"/>
      <c r="C23" s="754" t="s">
        <v>1002</v>
      </c>
      <c r="D23" s="758" t="s">
        <v>995</v>
      </c>
    </row>
    <row r="24" spans="2:4" ht="15" thickBot="1">
      <c r="B24" s="753" t="s">
        <v>597</v>
      </c>
      <c r="C24" s="754" t="s">
        <v>1003</v>
      </c>
      <c r="D24" s="758" t="s">
        <v>1159</v>
      </c>
    </row>
    <row r="25" spans="2:4" ht="15" thickBot="1">
      <c r="B25" s="755"/>
      <c r="C25" s="754" t="s">
        <v>1220</v>
      </c>
      <c r="D25" s="758" t="s">
        <v>1015</v>
      </c>
    </row>
    <row r="26" spans="2:4" ht="15" thickBot="1">
      <c r="B26" s="756"/>
      <c r="C26" s="754" t="s">
        <v>1004</v>
      </c>
      <c r="D26" s="758" t="s">
        <v>1005</v>
      </c>
    </row>
    <row r="27" spans="2:4" ht="15" thickBot="1">
      <c r="B27" s="753"/>
      <c r="C27" s="754" t="s">
        <v>1228</v>
      </c>
      <c r="D27" s="758" t="s">
        <v>1201</v>
      </c>
    </row>
    <row r="28" spans="2:4" ht="15" thickBot="1">
      <c r="B28" s="753" t="s">
        <v>529</v>
      </c>
      <c r="C28" s="754" t="s">
        <v>1221</v>
      </c>
      <c r="D28" s="758" t="s">
        <v>1000</v>
      </c>
    </row>
    <row r="29" spans="2:4" ht="15" thickBot="1">
      <c r="B29" s="755"/>
      <c r="C29" s="754" t="s">
        <v>1222</v>
      </c>
      <c r="D29" s="758" t="s">
        <v>1000</v>
      </c>
    </row>
    <row r="30" spans="2:4" ht="16.5" customHeight="1" thickBot="1">
      <c r="B30" s="755"/>
      <c r="C30" s="754" t="s">
        <v>1223</v>
      </c>
      <c r="D30" s="758" t="s">
        <v>1006</v>
      </c>
    </row>
    <row r="31" spans="2:4" ht="15" thickBot="1">
      <c r="B31" s="755"/>
      <c r="C31" s="754" t="s">
        <v>1224</v>
      </c>
      <c r="D31" s="758" t="s">
        <v>1007</v>
      </c>
    </row>
    <row r="32" spans="2:4" ht="15" thickBot="1">
      <c r="B32" s="756"/>
      <c r="C32" s="754" t="s">
        <v>1225</v>
      </c>
      <c r="D32" s="758" t="s">
        <v>1008</v>
      </c>
    </row>
    <row r="33" spans="2:7" ht="15" thickBot="1">
      <c r="B33" s="805" t="s">
        <v>601</v>
      </c>
      <c r="C33" s="754" t="s">
        <v>1009</v>
      </c>
      <c r="D33" s="758" t="s">
        <v>995</v>
      </c>
    </row>
    <row r="34" spans="2:7" ht="15" thickBot="1">
      <c r="B34" s="806"/>
      <c r="C34" s="754" t="s">
        <v>1011</v>
      </c>
      <c r="D34" s="758" t="s">
        <v>995</v>
      </c>
    </row>
    <row r="35" spans="2:7" ht="15" thickBot="1">
      <c r="B35" s="806"/>
      <c r="C35" s="754" t="s">
        <v>1010</v>
      </c>
      <c r="D35" s="758" t="s">
        <v>996</v>
      </c>
    </row>
    <row r="36" spans="2:7" ht="15" thickBot="1">
      <c r="B36" s="806"/>
      <c r="C36" s="754" t="s">
        <v>1012</v>
      </c>
      <c r="D36" s="758" t="s">
        <v>996</v>
      </c>
    </row>
    <row r="37" spans="2:7" ht="15" thickBot="1">
      <c r="B37" s="806"/>
      <c r="C37" s="754" t="s">
        <v>1226</v>
      </c>
      <c r="D37" s="758" t="s">
        <v>1227</v>
      </c>
    </row>
    <row r="38" spans="2:7" ht="15" thickBot="1">
      <c r="B38" s="806"/>
      <c r="C38" s="754" t="s">
        <v>1013</v>
      </c>
      <c r="D38" s="758" t="s">
        <v>1159</v>
      </c>
    </row>
    <row r="39" spans="2:7" ht="15" thickBot="1">
      <c r="B39" s="806"/>
      <c r="C39" s="754" t="s">
        <v>1014</v>
      </c>
      <c r="D39" s="758" t="s">
        <v>1015</v>
      </c>
    </row>
    <row r="40" spans="2:7" ht="15" thickBot="1">
      <c r="B40" s="806"/>
      <c r="C40" s="754" t="s">
        <v>1160</v>
      </c>
      <c r="D40" s="758" t="s">
        <v>1161</v>
      </c>
    </row>
    <row r="41" spans="2:7" ht="15" thickBot="1">
      <c r="B41" s="807"/>
      <c r="C41" s="754" t="s">
        <v>1232</v>
      </c>
      <c r="D41" s="758" t="s">
        <v>1231</v>
      </c>
    </row>
    <row r="42" spans="2:7">
      <c r="B42" s="553"/>
      <c r="C42" s="247"/>
      <c r="D42" s="553"/>
    </row>
    <row r="43" spans="2:7">
      <c r="B43" s="248" t="s">
        <v>1016</v>
      </c>
      <c r="C43" s="247"/>
      <c r="D43" s="553"/>
    </row>
    <row r="44" spans="2:7">
      <c r="B44" s="248"/>
      <c r="C44" s="247"/>
      <c r="D44" s="553"/>
    </row>
    <row r="45" spans="2:7">
      <c r="B45" s="799" t="s">
        <v>1233</v>
      </c>
      <c r="C45" s="799"/>
      <c r="D45" s="799"/>
      <c r="E45" s="764"/>
      <c r="F45" s="764"/>
      <c r="G45" s="764"/>
    </row>
    <row r="46" spans="2:7">
      <c r="B46" s="497" t="s">
        <v>741</v>
      </c>
      <c r="C46" s="342" t="s">
        <v>991</v>
      </c>
      <c r="D46" s="763">
        <v>45103</v>
      </c>
      <c r="E46" s="765"/>
      <c r="F46" s="766"/>
      <c r="G46" s="767"/>
    </row>
    <row r="47" spans="2:7">
      <c r="B47" s="497" t="s">
        <v>597</v>
      </c>
      <c r="C47" s="342" t="s">
        <v>1001</v>
      </c>
      <c r="D47" s="763">
        <v>45070</v>
      </c>
      <c r="E47" s="765"/>
      <c r="F47" s="766"/>
      <c r="G47" s="767"/>
    </row>
    <row r="48" spans="2:7">
      <c r="B48" s="248"/>
      <c r="C48" s="247"/>
      <c r="D48" s="759"/>
      <c r="E48" s="760"/>
      <c r="F48" s="761"/>
      <c r="G48" s="762"/>
    </row>
  </sheetData>
  <mergeCells count="5">
    <mergeCell ref="B45:D45"/>
    <mergeCell ref="B7:D7"/>
    <mergeCell ref="B9:B11"/>
    <mergeCell ref="B12:B22"/>
    <mergeCell ref="B33:B41"/>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dimension ref="A1:H36"/>
  <sheetViews>
    <sheetView showGridLines="0" topLeftCell="A4" workbookViewId="0">
      <selection activeCell="J8" sqref="J8"/>
    </sheetView>
  </sheetViews>
  <sheetFormatPr baseColWidth="10" defaultColWidth="10.88671875" defaultRowHeight="13.8"/>
  <cols>
    <col min="1" max="1" width="10.88671875" style="4"/>
    <col min="2" max="2" width="19.5546875" style="4" bestFit="1" customWidth="1"/>
    <col min="3" max="3" width="37.6640625" style="4" bestFit="1" customWidth="1"/>
    <col min="4" max="4" width="5.5546875" style="4" customWidth="1"/>
    <col min="5" max="5" width="5.109375" style="4" customWidth="1"/>
    <col min="6" max="6" width="20.88671875" style="4" customWidth="1"/>
    <col min="7" max="7" width="14.109375" style="4" bestFit="1" customWidth="1"/>
    <col min="8" max="8" width="25" style="4" bestFit="1" customWidth="1"/>
    <col min="9" max="16384" width="10.88671875" style="4"/>
  </cols>
  <sheetData>
    <row r="1" spans="1:8">
      <c r="A1" s="3" t="s">
        <v>37</v>
      </c>
    </row>
    <row r="4" spans="1:8" ht="17.399999999999999" customHeight="1">
      <c r="B4" s="582" t="s">
        <v>1017</v>
      </c>
      <c r="F4" s="582" t="s">
        <v>1018</v>
      </c>
    </row>
    <row r="5" spans="1:8" s="46" customFormat="1" ht="9.15" customHeight="1">
      <c r="B5" s="583"/>
      <c r="C5" s="583"/>
    </row>
    <row r="6" spans="1:8" ht="30.75" customHeight="1">
      <c r="B6" s="719" t="s">
        <v>1019</v>
      </c>
      <c r="C6" s="720" t="s">
        <v>1020</v>
      </c>
      <c r="F6" s="485" t="s">
        <v>631</v>
      </c>
      <c r="G6" s="486" t="s">
        <v>1020</v>
      </c>
      <c r="H6" s="486" t="s">
        <v>1021</v>
      </c>
    </row>
    <row r="7" spans="1:8">
      <c r="B7" s="721" t="s">
        <v>21</v>
      </c>
      <c r="C7" s="722">
        <v>2032</v>
      </c>
      <c r="D7" s="584"/>
      <c r="E7" s="584"/>
      <c r="F7" s="718" t="s">
        <v>938</v>
      </c>
      <c r="G7" s="723" t="s">
        <v>1196</v>
      </c>
      <c r="H7" s="723" t="s">
        <v>1022</v>
      </c>
    </row>
    <row r="8" spans="1:8" ht="26.1" customHeight="1">
      <c r="B8" s="721" t="s">
        <v>601</v>
      </c>
      <c r="C8" s="724" t="s">
        <v>1023</v>
      </c>
      <c r="D8" s="584"/>
      <c r="E8" s="584"/>
      <c r="F8" s="718" t="s">
        <v>1024</v>
      </c>
      <c r="G8" s="723" t="s">
        <v>1025</v>
      </c>
      <c r="H8" s="723" t="s">
        <v>1205</v>
      </c>
    </row>
    <row r="9" spans="1:8" ht="21.6" customHeight="1">
      <c r="B9" s="721" t="s">
        <v>22</v>
      </c>
      <c r="C9" s="724" t="s">
        <v>1026</v>
      </c>
      <c r="D9" s="584"/>
      <c r="E9" s="584"/>
      <c r="F9" s="718" t="s">
        <v>946</v>
      </c>
      <c r="G9" s="723" t="s">
        <v>1197</v>
      </c>
      <c r="H9" s="723" t="s">
        <v>1202</v>
      </c>
    </row>
    <row r="10" spans="1:8" ht="18" customHeight="1">
      <c r="B10" s="721" t="s">
        <v>1027</v>
      </c>
      <c r="C10" s="722" t="s">
        <v>1028</v>
      </c>
      <c r="D10" s="584"/>
      <c r="E10" s="584"/>
      <c r="F10" s="718" t="s">
        <v>952</v>
      </c>
      <c r="G10" s="723" t="s">
        <v>1198</v>
      </c>
      <c r="H10" s="723" t="s">
        <v>1203</v>
      </c>
    </row>
    <row r="11" spans="1:8" ht="29.1" customHeight="1">
      <c r="B11" s="721" t="s">
        <v>849</v>
      </c>
      <c r="C11" s="724" t="s">
        <v>1029</v>
      </c>
      <c r="D11" s="584"/>
      <c r="E11" s="584"/>
    </row>
    <row r="12" spans="1:8" ht="14.1" customHeight="1">
      <c r="B12" s="584"/>
      <c r="C12" s="581"/>
    </row>
    <row r="13" spans="1:8" ht="31.05" customHeight="1">
      <c r="B13" s="485" t="s">
        <v>630</v>
      </c>
      <c r="C13" s="486" t="s">
        <v>1020</v>
      </c>
      <c r="F13" s="485" t="s">
        <v>626</v>
      </c>
      <c r="G13" s="486" t="s">
        <v>1020</v>
      </c>
      <c r="H13" s="486" t="s">
        <v>1021</v>
      </c>
    </row>
    <row r="14" spans="1:8" ht="22.5" customHeight="1">
      <c r="B14" s="481" t="s">
        <v>1030</v>
      </c>
      <c r="C14" s="483" t="s">
        <v>1031</v>
      </c>
      <c r="F14" s="481" t="s">
        <v>1032</v>
      </c>
      <c r="G14" s="587" t="s">
        <v>1199</v>
      </c>
      <c r="H14" s="587" t="s">
        <v>1204</v>
      </c>
    </row>
    <row r="15" spans="1:8">
      <c r="B15" s="481" t="s">
        <v>529</v>
      </c>
      <c r="C15" s="482">
        <v>2042</v>
      </c>
    </row>
    <row r="16" spans="1:8">
      <c r="B16" s="484" t="s">
        <v>1033</v>
      </c>
      <c r="C16" s="482">
        <v>2039</v>
      </c>
    </row>
    <row r="17" spans="2:3">
      <c r="B17" s="484" t="s">
        <v>1034</v>
      </c>
      <c r="C17" s="482">
        <v>2050</v>
      </c>
    </row>
    <row r="18" spans="2:3">
      <c r="B18" s="484" t="s">
        <v>540</v>
      </c>
      <c r="C18" s="585">
        <v>2038</v>
      </c>
    </row>
    <row r="19" spans="2:3">
      <c r="B19" s="484" t="s">
        <v>1035</v>
      </c>
      <c r="C19" s="482">
        <v>2041</v>
      </c>
    </row>
    <row r="20" spans="2:3">
      <c r="B20" s="484" t="s">
        <v>1036</v>
      </c>
      <c r="C20" s="482">
        <f>+C19</f>
        <v>2041</v>
      </c>
    </row>
    <row r="21" spans="2:3">
      <c r="B21" s="484" t="s">
        <v>1037</v>
      </c>
      <c r="C21" s="482">
        <v>2050</v>
      </c>
    </row>
    <row r="22" spans="2:3">
      <c r="B22" s="484" t="s">
        <v>1038</v>
      </c>
      <c r="C22" s="482">
        <v>2046</v>
      </c>
    </row>
    <row r="23" spans="2:3">
      <c r="B23" s="484" t="s">
        <v>1039</v>
      </c>
      <c r="C23" s="482">
        <v>2047</v>
      </c>
    </row>
    <row r="24" spans="2:3">
      <c r="B24" s="484" t="s">
        <v>1040</v>
      </c>
      <c r="C24" s="482">
        <v>2050</v>
      </c>
    </row>
    <row r="25" spans="2:3">
      <c r="B25" s="484" t="s">
        <v>1041</v>
      </c>
      <c r="C25" s="482">
        <v>2047</v>
      </c>
    </row>
    <row r="26" spans="2:3">
      <c r="B26" s="484" t="s">
        <v>1042</v>
      </c>
      <c r="C26" s="482">
        <v>2048</v>
      </c>
    </row>
    <row r="27" spans="2:3">
      <c r="B27" s="484" t="s">
        <v>1043</v>
      </c>
      <c r="C27" s="482">
        <v>2047</v>
      </c>
    </row>
    <row r="28" spans="2:3">
      <c r="B28" s="484" t="s">
        <v>1044</v>
      </c>
      <c r="C28" s="482">
        <v>2048</v>
      </c>
    </row>
    <row r="29" spans="2:3">
      <c r="B29" s="484" t="s">
        <v>1045</v>
      </c>
      <c r="C29" s="482">
        <v>2051</v>
      </c>
    </row>
    <row r="30" spans="2:3">
      <c r="B30" s="484" t="s">
        <v>1046</v>
      </c>
      <c r="C30" s="482">
        <v>2039</v>
      </c>
    </row>
    <row r="31" spans="2:3">
      <c r="B31" s="484" t="s">
        <v>1047</v>
      </c>
      <c r="C31" s="482">
        <v>2041</v>
      </c>
    </row>
    <row r="32" spans="2:3">
      <c r="B32" s="484" t="s">
        <v>1048</v>
      </c>
      <c r="C32" s="482">
        <v>2047</v>
      </c>
    </row>
    <row r="33" spans="2:3">
      <c r="B33" s="484" t="s">
        <v>1049</v>
      </c>
      <c r="C33" s="482">
        <v>2047</v>
      </c>
    </row>
    <row r="34" spans="2:3">
      <c r="B34" s="484" t="s">
        <v>1050</v>
      </c>
      <c r="C34" s="482">
        <v>2047</v>
      </c>
    </row>
    <row r="35" spans="2:3">
      <c r="B35" s="484" t="s">
        <v>1051</v>
      </c>
      <c r="C35" s="482">
        <v>2052</v>
      </c>
    </row>
    <row r="36" spans="2:3">
      <c r="B36" s="484" t="s">
        <v>1052</v>
      </c>
      <c r="C36" s="482">
        <v>2052</v>
      </c>
    </row>
  </sheetData>
  <hyperlinks>
    <hyperlink ref="A1" location="Contenido!A1" display="Volver al Contenido" xr:uid="{B7D76DE4-508F-4655-A73A-A166175E558B}"/>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H111"/>
  <sheetViews>
    <sheetView showGridLines="0" zoomScale="80" zoomScaleNormal="80" workbookViewId="0">
      <pane xSplit="2" ySplit="7" topLeftCell="W107" activePane="bottomRight" state="frozen"/>
      <selection pane="topRight" activeCell="C1" sqref="C1"/>
      <selection pane="bottomLeft" activeCell="A7" sqref="A7"/>
      <selection pane="bottomRight" activeCell="AB7" sqref="AB7:AB107"/>
    </sheetView>
  </sheetViews>
  <sheetFormatPr baseColWidth="10" defaultColWidth="10.88671875" defaultRowHeight="14.4"/>
  <cols>
    <col min="1" max="1" width="4.5546875" style="4" customWidth="1"/>
    <col min="2" max="2" width="67.44140625" style="4" customWidth="1"/>
    <col min="3" max="14" width="15.109375" style="4" customWidth="1"/>
    <col min="15" max="15" width="15" style="4" customWidth="1"/>
    <col min="16" max="18" width="14.44140625" customWidth="1"/>
    <col min="19" max="20" width="15.33203125" bestFit="1" customWidth="1"/>
    <col min="21" max="21" width="3.6640625" customWidth="1"/>
    <col min="22" max="22" width="60.44140625" bestFit="1" customWidth="1"/>
    <col min="23" max="28" width="15.33203125" bestFit="1" customWidth="1"/>
    <col min="32" max="32" width="12.44140625" bestFit="1" customWidth="1"/>
    <col min="35" max="16384" width="10.88671875" style="4"/>
  </cols>
  <sheetData>
    <row r="1" spans="1:28">
      <c r="A1" s="3" t="s">
        <v>37</v>
      </c>
    </row>
    <row r="3" spans="1:28" ht="15.6">
      <c r="B3" s="11" t="s">
        <v>38</v>
      </c>
      <c r="C3" s="5"/>
      <c r="D3" s="5"/>
      <c r="E3" s="6"/>
      <c r="F3" s="5"/>
      <c r="G3" s="5"/>
      <c r="H3" s="5"/>
      <c r="I3" s="6"/>
      <c r="J3" s="5"/>
      <c r="K3" s="5"/>
      <c r="L3" s="5"/>
      <c r="M3" s="6"/>
      <c r="N3" s="5"/>
    </row>
    <row r="4" spans="1:28" ht="15">
      <c r="B4" s="13" t="s">
        <v>39</v>
      </c>
      <c r="C4" s="7"/>
      <c r="D4" s="7"/>
      <c r="E4" s="7"/>
      <c r="F4" s="7"/>
      <c r="G4" s="7"/>
      <c r="H4" s="7"/>
      <c r="I4" s="7"/>
      <c r="J4" s="7"/>
      <c r="K4" s="7"/>
      <c r="L4" s="7"/>
      <c r="M4" s="7"/>
      <c r="N4" s="7"/>
    </row>
    <row r="5" spans="1:28" ht="15">
      <c r="B5" s="13"/>
      <c r="C5" s="7"/>
      <c r="D5" s="7"/>
      <c r="E5" s="7"/>
      <c r="F5" s="7"/>
      <c r="G5" s="7"/>
      <c r="H5" s="7"/>
      <c r="I5" s="7"/>
      <c r="J5" s="7"/>
      <c r="K5" s="7"/>
      <c r="L5" s="7"/>
      <c r="M5" s="7"/>
      <c r="N5" s="7"/>
    </row>
    <row r="6" spans="1:28" ht="15.6">
      <c r="B6" s="8"/>
      <c r="C6" s="8"/>
      <c r="D6" s="8"/>
      <c r="E6" s="8"/>
      <c r="F6" s="8"/>
      <c r="G6" s="8"/>
      <c r="H6" s="8"/>
      <c r="I6" s="8"/>
      <c r="J6" s="8"/>
      <c r="K6" s="8"/>
      <c r="L6" s="8"/>
      <c r="M6" s="8"/>
      <c r="N6" s="8"/>
    </row>
    <row r="7" spans="1:28" ht="15">
      <c r="B7" s="70"/>
      <c r="C7" s="27">
        <v>2016</v>
      </c>
      <c r="D7" s="27">
        <v>2017</v>
      </c>
      <c r="E7" s="27" t="s">
        <v>40</v>
      </c>
      <c r="F7" s="27" t="s">
        <v>41</v>
      </c>
      <c r="G7" s="27" t="s">
        <v>42</v>
      </c>
      <c r="H7" s="27" t="s">
        <v>43</v>
      </c>
      <c r="I7" s="27" t="s">
        <v>44</v>
      </c>
      <c r="J7" s="27" t="s">
        <v>45</v>
      </c>
      <c r="K7" s="27" t="s">
        <v>46</v>
      </c>
      <c r="L7" s="27" t="s">
        <v>47</v>
      </c>
      <c r="M7" s="27" t="s">
        <v>48</v>
      </c>
      <c r="N7" s="27" t="s">
        <v>49</v>
      </c>
      <c r="O7" s="27" t="s">
        <v>50</v>
      </c>
      <c r="P7" s="27" t="s">
        <v>51</v>
      </c>
      <c r="Q7" s="27" t="s">
        <v>52</v>
      </c>
      <c r="R7" s="27" t="s">
        <v>53</v>
      </c>
      <c r="S7" s="27" t="s">
        <v>54</v>
      </c>
      <c r="T7" s="27" t="s">
        <v>55</v>
      </c>
      <c r="W7" s="27" t="s">
        <v>87</v>
      </c>
      <c r="X7" s="27" t="s">
        <v>56</v>
      </c>
      <c r="Y7" s="27" t="s">
        <v>57</v>
      </c>
      <c r="Z7" s="27" t="s">
        <v>1154</v>
      </c>
      <c r="AA7" s="27" t="s">
        <v>1169</v>
      </c>
      <c r="AB7" s="27" t="s">
        <v>1207</v>
      </c>
    </row>
    <row r="8" spans="1:28" ht="15.6">
      <c r="B8" s="71"/>
      <c r="C8" s="39"/>
      <c r="D8" s="39"/>
      <c r="E8" s="39"/>
      <c r="F8" s="39"/>
      <c r="G8" s="39"/>
      <c r="H8" s="39"/>
      <c r="I8" s="39"/>
      <c r="J8" s="39"/>
      <c r="K8" s="39"/>
      <c r="L8" s="39"/>
      <c r="M8" s="602"/>
      <c r="N8" s="602"/>
      <c r="O8" s="602"/>
      <c r="P8" s="602"/>
    </row>
    <row r="9" spans="1:28" ht="15.6">
      <c r="B9" s="72" t="s">
        <v>58</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72" t="s">
        <v>58</v>
      </c>
      <c r="W9" s="9">
        <v>457615</v>
      </c>
      <c r="X9" s="9">
        <v>688018</v>
      </c>
      <c r="Y9" s="9">
        <v>972829</v>
      </c>
      <c r="Z9" s="9">
        <v>913222</v>
      </c>
      <c r="AA9" s="9">
        <v>884266</v>
      </c>
      <c r="AB9" s="9">
        <v>727498</v>
      </c>
    </row>
    <row r="10" spans="1:28" ht="15.6">
      <c r="B10" s="72" t="s">
        <v>59</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72" t="s">
        <v>59</v>
      </c>
      <c r="W10" s="9">
        <v>419155</v>
      </c>
      <c r="X10" s="9">
        <v>634626</v>
      </c>
      <c r="Y10" s="9">
        <v>834406</v>
      </c>
      <c r="Z10" s="9">
        <v>914299</v>
      </c>
      <c r="AA10" s="9">
        <v>750743</v>
      </c>
      <c r="AB10" s="9">
        <v>592294</v>
      </c>
    </row>
    <row r="11" spans="1:28" ht="15.6">
      <c r="B11" s="131" t="s">
        <v>60</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31" t="s">
        <v>61</v>
      </c>
      <c r="W11" s="10">
        <v>38460</v>
      </c>
      <c r="X11" s="10">
        <v>53392</v>
      </c>
      <c r="Y11" s="10">
        <v>138423</v>
      </c>
      <c r="Z11" s="10">
        <v>-1077</v>
      </c>
      <c r="AA11" s="10">
        <v>133523</v>
      </c>
      <c r="AB11" s="10">
        <v>135204</v>
      </c>
    </row>
    <row r="12" spans="1:28" ht="15.6">
      <c r="B12" s="72"/>
      <c r="C12" s="9"/>
      <c r="D12" s="9"/>
      <c r="E12" s="9"/>
      <c r="F12" s="9"/>
      <c r="G12" s="9"/>
      <c r="H12" s="9"/>
      <c r="I12" s="9"/>
      <c r="J12" s="9"/>
      <c r="K12" s="9"/>
      <c r="L12" s="9"/>
      <c r="M12" s="9"/>
      <c r="N12" s="9"/>
      <c r="O12" s="9"/>
      <c r="P12" s="9"/>
      <c r="Q12" s="9"/>
      <c r="R12" s="9">
        <v>0</v>
      </c>
      <c r="S12" s="9"/>
      <c r="T12" s="9"/>
      <c r="V12" s="72"/>
      <c r="W12" s="9"/>
      <c r="X12" s="9">
        <v>0</v>
      </c>
      <c r="Y12" s="9">
        <v>0</v>
      </c>
      <c r="Z12" s="9"/>
      <c r="AA12" s="9"/>
      <c r="AB12" s="9"/>
    </row>
    <row r="13" spans="1:28" ht="15.6">
      <c r="B13" s="72" t="s">
        <v>62</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72" t="s">
        <v>62</v>
      </c>
      <c r="W13" s="9">
        <v>1693554</v>
      </c>
      <c r="X13" s="9">
        <v>1917102</v>
      </c>
      <c r="Y13" s="9">
        <v>1673479</v>
      </c>
      <c r="Z13" s="9">
        <v>1885958</v>
      </c>
      <c r="AA13" s="9">
        <v>2124065</v>
      </c>
      <c r="AB13" s="9">
        <v>1991269</v>
      </c>
    </row>
    <row r="14" spans="1:28" ht="15.6">
      <c r="B14" s="72" t="s">
        <v>63</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72" t="s">
        <v>63</v>
      </c>
      <c r="W14" s="9">
        <v>128379</v>
      </c>
      <c r="X14" s="9">
        <v>134902</v>
      </c>
      <c r="Y14" s="9">
        <v>136332</v>
      </c>
      <c r="Z14" s="9">
        <v>141056</v>
      </c>
      <c r="AA14" s="9">
        <v>151287</v>
      </c>
      <c r="AB14" s="9">
        <v>146899</v>
      </c>
    </row>
    <row r="15" spans="1:28" ht="15.6">
      <c r="B15" s="72" t="s">
        <v>64</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72" t="s">
        <v>64</v>
      </c>
      <c r="W15" s="9">
        <v>361441</v>
      </c>
      <c r="X15" s="9">
        <v>374181</v>
      </c>
      <c r="Y15" s="9">
        <v>611338</v>
      </c>
      <c r="Z15" s="9">
        <v>653916</v>
      </c>
      <c r="AA15" s="9">
        <v>570121</v>
      </c>
      <c r="AB15" s="9">
        <v>541674</v>
      </c>
    </row>
    <row r="16" spans="1:28" ht="15.6">
      <c r="B16" s="72" t="s">
        <v>65</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72" t="s">
        <v>65</v>
      </c>
      <c r="W16" s="9">
        <v>0</v>
      </c>
      <c r="X16" s="9">
        <v>0</v>
      </c>
      <c r="Y16" s="9">
        <v>0</v>
      </c>
      <c r="Z16" s="9"/>
      <c r="AA16" s="9">
        <v>0</v>
      </c>
      <c r="AB16" s="9">
        <v>0</v>
      </c>
    </row>
    <row r="17" spans="2:28" ht="15.6">
      <c r="B17" s="72" t="s">
        <v>66</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72" t="s">
        <v>66</v>
      </c>
      <c r="W17" s="9">
        <v>0</v>
      </c>
      <c r="X17" s="9">
        <v>0</v>
      </c>
      <c r="Y17" s="9">
        <v>0</v>
      </c>
      <c r="Z17" s="9"/>
      <c r="AA17" s="9">
        <v>0</v>
      </c>
      <c r="AB17" s="9">
        <v>0</v>
      </c>
    </row>
    <row r="18" spans="2:28" ht="15.6">
      <c r="B18" s="72" t="s">
        <v>67</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72" t="s">
        <v>67</v>
      </c>
      <c r="W18" s="9">
        <v>106710</v>
      </c>
      <c r="X18" s="9">
        <v>111991</v>
      </c>
      <c r="Y18" s="9">
        <v>125524</v>
      </c>
      <c r="Z18" s="9">
        <v>139428</v>
      </c>
      <c r="AA18" s="9">
        <v>124306</v>
      </c>
      <c r="AB18" s="9">
        <v>121252</v>
      </c>
    </row>
    <row r="19" spans="2:28" ht="15.6">
      <c r="B19" s="72" t="s">
        <v>68</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72" t="s">
        <v>68</v>
      </c>
      <c r="W19" s="9">
        <v>18657</v>
      </c>
      <c r="X19" s="9">
        <v>29765</v>
      </c>
      <c r="Y19" s="9">
        <v>38739</v>
      </c>
      <c r="Z19" s="9">
        <v>43370</v>
      </c>
      <c r="AA19" s="9">
        <v>57268</v>
      </c>
      <c r="AB19" s="9">
        <v>18552</v>
      </c>
    </row>
    <row r="20" spans="2:28" ht="15.6">
      <c r="B20" s="72" t="s">
        <v>69</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72" t="s">
        <v>69</v>
      </c>
      <c r="W20" s="9">
        <v>553420</v>
      </c>
      <c r="X20" s="9">
        <v>580392</v>
      </c>
      <c r="Y20" s="9">
        <v>615951</v>
      </c>
      <c r="Z20" s="9">
        <v>793563</v>
      </c>
      <c r="AA20" s="9">
        <v>728732</v>
      </c>
      <c r="AB20" s="9">
        <v>707906</v>
      </c>
    </row>
    <row r="21" spans="2:28" ht="15.6">
      <c r="B21" s="131" t="s">
        <v>70</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72" t="s">
        <v>71</v>
      </c>
      <c r="W21" s="9">
        <v>275073</v>
      </c>
      <c r="X21" s="9">
        <v>269972</v>
      </c>
      <c r="Y21" s="9">
        <v>289597</v>
      </c>
      <c r="Z21" s="9">
        <v>447342</v>
      </c>
      <c r="AA21" s="9">
        <v>318840</v>
      </c>
      <c r="AB21" s="9">
        <v>303987</v>
      </c>
    </row>
    <row r="22" spans="2:28" ht="15.6">
      <c r="B22" s="529" t="s">
        <v>72</v>
      </c>
      <c r="C22" s="56">
        <v>8923823</v>
      </c>
      <c r="D22" s="56">
        <v>4439157</v>
      </c>
      <c r="E22" s="56">
        <v>1070279</v>
      </c>
      <c r="F22" s="56">
        <v>945423</v>
      </c>
      <c r="G22" s="56">
        <v>1393954</v>
      </c>
      <c r="H22" s="56">
        <v>1402593</v>
      </c>
      <c r="I22" s="56">
        <v>1227268</v>
      </c>
      <c r="J22" s="56">
        <v>1424997</v>
      </c>
      <c r="K22" s="56">
        <v>1245466</v>
      </c>
      <c r="L22" s="56">
        <v>1387875</v>
      </c>
      <c r="M22" s="56">
        <v>1356303</v>
      </c>
      <c r="N22" s="56">
        <v>1902740</v>
      </c>
      <c r="O22" s="56">
        <v>1766191</v>
      </c>
      <c r="P22" s="56">
        <v>1548225</v>
      </c>
      <c r="Q22" s="56">
        <v>1505713</v>
      </c>
      <c r="R22" s="56">
        <v>1911194</v>
      </c>
      <c r="S22" s="56">
        <v>1867923</v>
      </c>
      <c r="T22" s="56">
        <v>1835598</v>
      </c>
      <c r="V22" s="529" t="s">
        <v>73</v>
      </c>
      <c r="W22" s="56">
        <v>1480248</v>
      </c>
      <c r="X22" s="56">
        <v>1717577</v>
      </c>
      <c r="Y22" s="56">
        <f>1678415+1449</f>
        <v>1679864</v>
      </c>
      <c r="Z22" s="56">
        <f>+Z13+Z14+Z15+Z18+Z19-Z20-Z21</f>
        <v>1622823</v>
      </c>
      <c r="AA22" s="56">
        <v>1979475</v>
      </c>
      <c r="AB22" s="56">
        <v>1807753</v>
      </c>
    </row>
    <row r="23" spans="2:28" ht="15.6">
      <c r="B23" s="71"/>
      <c r="C23" s="39"/>
      <c r="D23" s="39"/>
      <c r="E23" s="39"/>
      <c r="F23" s="39"/>
      <c r="G23" s="39"/>
      <c r="H23" s="39"/>
      <c r="I23" s="39"/>
      <c r="J23" s="39"/>
      <c r="K23" s="39"/>
      <c r="L23" s="39"/>
      <c r="M23" s="39"/>
      <c r="N23" s="39"/>
      <c r="O23" s="39"/>
      <c r="P23" s="39"/>
      <c r="Q23" s="39"/>
      <c r="R23" s="39"/>
      <c r="S23" s="39"/>
      <c r="T23" s="39"/>
      <c r="V23" s="71"/>
      <c r="W23" s="603">
        <f t="shared" ref="W23:X23" si="0">+SUM(W13:W19)-W20-W21-W22</f>
        <v>0</v>
      </c>
      <c r="X23" s="603">
        <f t="shared" si="0"/>
        <v>0</v>
      </c>
      <c r="Y23" s="603">
        <f>+SUM(Y13:Y19)-Y20-Y21-Y22</f>
        <v>0</v>
      </c>
      <c r="Z23" s="603"/>
      <c r="AA23" s="603"/>
      <c r="AB23" s="603"/>
    </row>
    <row r="24" spans="2:28" ht="15.6">
      <c r="B24" s="72" t="s">
        <v>71</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72"/>
      <c r="W24" s="9"/>
      <c r="X24" s="9">
        <v>0</v>
      </c>
      <c r="Y24" s="9"/>
      <c r="Z24" s="9"/>
      <c r="AA24" s="9"/>
      <c r="AB24" s="9"/>
    </row>
    <row r="25" spans="2:28" ht="15.6">
      <c r="B25" s="72" t="s">
        <v>74</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72" t="s">
        <v>74</v>
      </c>
      <c r="W25" s="9">
        <v>149033</v>
      </c>
      <c r="X25" s="9">
        <v>176973</v>
      </c>
      <c r="Y25" s="9">
        <v>151586</v>
      </c>
      <c r="Z25" s="9">
        <v>38154</v>
      </c>
      <c r="AA25" s="9">
        <v>246713</v>
      </c>
      <c r="AB25" s="9">
        <v>97962</v>
      </c>
    </row>
    <row r="26" spans="2:28" ht="15.6">
      <c r="B26" s="72" t="s">
        <v>75</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72" t="s">
        <v>75</v>
      </c>
      <c r="W26" s="9">
        <v>3825</v>
      </c>
      <c r="X26" s="9">
        <v>13305</v>
      </c>
      <c r="Y26" s="9">
        <v>-3128</v>
      </c>
      <c r="Z26" s="9">
        <v>16871</v>
      </c>
      <c r="AA26" s="9">
        <v>5300</v>
      </c>
      <c r="AB26" s="9">
        <v>47005</v>
      </c>
    </row>
    <row r="27" spans="2:28" ht="15.6">
      <c r="B27" s="74" t="s">
        <v>76</v>
      </c>
      <c r="C27" s="57">
        <v>8503234</v>
      </c>
      <c r="D27" s="57">
        <v>4126925</v>
      </c>
      <c r="E27" s="57">
        <v>936839</v>
      </c>
      <c r="F27" s="57">
        <v>821046</v>
      </c>
      <c r="G27" s="57">
        <v>1318989</v>
      </c>
      <c r="H27" s="57">
        <v>1194859</v>
      </c>
      <c r="I27" s="57">
        <v>1082007</v>
      </c>
      <c r="J27" s="57">
        <v>1290178</v>
      </c>
      <c r="K27" s="57">
        <v>1111580</v>
      </c>
      <c r="L27" s="57">
        <v>1260076</v>
      </c>
      <c r="M27" s="57">
        <v>1258960</v>
      </c>
      <c r="N27" s="57">
        <v>1760720</v>
      </c>
      <c r="O27" s="57">
        <v>1614267</v>
      </c>
      <c r="P27" s="57">
        <v>1577382</v>
      </c>
      <c r="Q27" s="57">
        <v>1427316</v>
      </c>
      <c r="R27" s="57">
        <v>1779730</v>
      </c>
      <c r="S27" s="57">
        <v>1715533</v>
      </c>
      <c r="T27" s="57">
        <v>1721530</v>
      </c>
      <c r="V27" s="74" t="s">
        <v>76</v>
      </c>
      <c r="W27" s="57">
        <v>1671566</v>
      </c>
      <c r="X27" s="57">
        <v>1961247</v>
      </c>
      <c r="Y27" s="57">
        <v>1966745</v>
      </c>
      <c r="Z27" s="57">
        <f>Z11+Z22+Z25+Z26</f>
        <v>1676771</v>
      </c>
      <c r="AA27" s="57">
        <v>2365011</v>
      </c>
      <c r="AB27" s="57">
        <v>2087924</v>
      </c>
    </row>
    <row r="28" spans="2:28" ht="15.6">
      <c r="B28" s="72"/>
      <c r="C28" s="9"/>
      <c r="D28" s="9"/>
      <c r="E28" s="9"/>
      <c r="F28" s="9"/>
      <c r="G28" s="9"/>
      <c r="H28" s="9"/>
      <c r="I28" s="9"/>
      <c r="J28" s="9"/>
      <c r="K28" s="9"/>
      <c r="L28" s="9"/>
      <c r="M28" s="9"/>
      <c r="N28" s="9"/>
      <c r="O28" s="9"/>
      <c r="P28" s="9"/>
      <c r="Q28" s="9"/>
      <c r="R28" s="9">
        <v>0</v>
      </c>
      <c r="S28" s="9"/>
      <c r="T28" s="9"/>
      <c r="V28" s="72"/>
      <c r="W28" s="9">
        <f t="shared" ref="W28:X28" si="1">+W22+W25+W26+W11-W27</f>
        <v>0</v>
      </c>
      <c r="X28" s="9">
        <f t="shared" si="1"/>
        <v>0</v>
      </c>
      <c r="Y28" s="9">
        <f>+Y22+Y25+Y26+Y11-Y27</f>
        <v>0</v>
      </c>
      <c r="Z28" s="9"/>
      <c r="AA28" s="9"/>
      <c r="AB28" s="9"/>
    </row>
    <row r="29" spans="2:28" ht="15.6">
      <c r="B29" s="72" t="s">
        <v>77</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72" t="s">
        <v>77</v>
      </c>
      <c r="W29" s="9">
        <v>-637473</v>
      </c>
      <c r="X29" s="9">
        <v>-703241</v>
      </c>
      <c r="Y29" s="9">
        <v>-623407</v>
      </c>
      <c r="Z29" s="9">
        <v>-631036</v>
      </c>
      <c r="AA29" s="9">
        <v>-636685</v>
      </c>
      <c r="AB29" s="9">
        <v>-645779</v>
      </c>
    </row>
    <row r="30" spans="2:28" ht="15.6">
      <c r="B30" s="74" t="s">
        <v>78</v>
      </c>
      <c r="C30" s="57">
        <v>7469893</v>
      </c>
      <c r="D30" s="57">
        <v>3260106</v>
      </c>
      <c r="E30" s="57">
        <v>654335</v>
      </c>
      <c r="F30" s="57">
        <v>563441</v>
      </c>
      <c r="G30" s="57">
        <v>1031056</v>
      </c>
      <c r="H30" s="57">
        <v>935289</v>
      </c>
      <c r="I30" s="57">
        <v>814728</v>
      </c>
      <c r="J30" s="57">
        <v>954515</v>
      </c>
      <c r="K30" s="57">
        <v>803454</v>
      </c>
      <c r="L30" s="57">
        <v>958480</v>
      </c>
      <c r="M30" s="57">
        <v>922934</v>
      </c>
      <c r="N30" s="57">
        <v>1460933</v>
      </c>
      <c r="O30" s="57">
        <v>1320258</v>
      </c>
      <c r="P30" s="57">
        <v>1134332</v>
      </c>
      <c r="Q30" s="57">
        <v>1045263</v>
      </c>
      <c r="R30" s="57">
        <v>1334806</v>
      </c>
      <c r="S30" s="57">
        <v>866740</v>
      </c>
      <c r="T30" s="57">
        <v>1064171</v>
      </c>
      <c r="V30" s="74" t="s">
        <v>78</v>
      </c>
      <c r="W30" s="57">
        <v>1034093</v>
      </c>
      <c r="X30" s="57">
        <v>1258006</v>
      </c>
      <c r="Y30" s="57">
        <v>1343338</v>
      </c>
      <c r="Z30" s="57">
        <v>1045735</v>
      </c>
      <c r="AA30" s="57">
        <v>1728326</v>
      </c>
      <c r="AB30" s="57">
        <v>1442145</v>
      </c>
    </row>
    <row r="31" spans="2:28" ht="15.6">
      <c r="B31" s="71"/>
      <c r="C31" s="603">
        <v>0</v>
      </c>
      <c r="D31" s="603">
        <v>0</v>
      </c>
      <c r="E31" s="603">
        <v>0</v>
      </c>
      <c r="F31" s="603">
        <v>0</v>
      </c>
      <c r="G31" s="603">
        <v>0</v>
      </c>
      <c r="H31" s="603">
        <v>0</v>
      </c>
      <c r="I31" s="603">
        <v>0</v>
      </c>
      <c r="J31" s="603">
        <v>0</v>
      </c>
      <c r="K31" s="603">
        <v>0</v>
      </c>
      <c r="L31" s="603">
        <v>0</v>
      </c>
      <c r="M31" s="603">
        <v>0</v>
      </c>
      <c r="N31" s="603">
        <v>0</v>
      </c>
      <c r="O31" s="603">
        <v>0</v>
      </c>
      <c r="P31" s="603">
        <v>0</v>
      </c>
      <c r="Q31" s="603">
        <v>0</v>
      </c>
      <c r="R31" s="603">
        <v>0</v>
      </c>
      <c r="S31" s="603">
        <v>0</v>
      </c>
      <c r="T31" s="603">
        <v>0</v>
      </c>
      <c r="V31" s="71"/>
      <c r="W31" s="603">
        <v>0</v>
      </c>
      <c r="X31" s="603">
        <v>0</v>
      </c>
      <c r="Y31" s="603">
        <v>0</v>
      </c>
      <c r="Z31" s="603"/>
      <c r="AA31" s="603"/>
      <c r="AB31" s="603"/>
    </row>
    <row r="32" spans="2:28" ht="15.6">
      <c r="B32" s="72" t="s">
        <v>79</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72" t="s">
        <v>79</v>
      </c>
      <c r="W32" s="9">
        <v>282148</v>
      </c>
      <c r="X32" s="9">
        <v>80121</v>
      </c>
      <c r="Y32" s="9">
        <v>349859</v>
      </c>
      <c r="Z32" s="9">
        <v>293336</v>
      </c>
      <c r="AA32" s="9">
        <v>328470</v>
      </c>
      <c r="AB32" s="9">
        <v>222566</v>
      </c>
    </row>
    <row r="33" spans="2:28" ht="15.6">
      <c r="B33" s="74" t="s">
        <v>80</v>
      </c>
      <c r="C33" s="57">
        <v>5017735</v>
      </c>
      <c r="D33" s="57">
        <v>2343808</v>
      </c>
      <c r="E33" s="57">
        <v>460578</v>
      </c>
      <c r="F33" s="57">
        <v>381275</v>
      </c>
      <c r="G33" s="57">
        <v>782693</v>
      </c>
      <c r="H33" s="57">
        <v>975848</v>
      </c>
      <c r="I33" s="57">
        <v>580780</v>
      </c>
      <c r="J33" s="57">
        <v>713690</v>
      </c>
      <c r="K33" s="57">
        <v>644602</v>
      </c>
      <c r="L33" s="57">
        <v>819289</v>
      </c>
      <c r="M33" s="57">
        <v>721719</v>
      </c>
      <c r="N33" s="57">
        <v>1075555</v>
      </c>
      <c r="O33" s="57">
        <v>980048</v>
      </c>
      <c r="P33" s="57">
        <v>986903</v>
      </c>
      <c r="Q33" s="57">
        <v>793418</v>
      </c>
      <c r="R33" s="57">
        <v>1004261</v>
      </c>
      <c r="S33" s="57">
        <v>514059</v>
      </c>
      <c r="T33" s="57">
        <v>892974</v>
      </c>
      <c r="V33" s="74" t="s">
        <v>80</v>
      </c>
      <c r="W33" s="57">
        <v>751945</v>
      </c>
      <c r="X33" s="57">
        <v>1177885</v>
      </c>
      <c r="Y33" s="57">
        <v>993479</v>
      </c>
      <c r="Z33" s="57">
        <v>752399</v>
      </c>
      <c r="AA33" s="57">
        <v>1399856</v>
      </c>
      <c r="AB33" s="57">
        <v>1219579</v>
      </c>
    </row>
    <row r="34" spans="2:28" ht="15.6">
      <c r="B34" s="131"/>
      <c r="C34" s="10"/>
      <c r="D34" s="10"/>
      <c r="E34" s="10"/>
      <c r="F34" s="10"/>
      <c r="G34" s="10"/>
      <c r="H34" s="10"/>
      <c r="I34" s="10"/>
      <c r="J34" s="10"/>
      <c r="K34" s="10"/>
      <c r="L34" s="10"/>
      <c r="M34" s="9"/>
      <c r="N34" s="9"/>
      <c r="O34" s="9"/>
      <c r="P34" s="10"/>
      <c r="Q34" s="10"/>
      <c r="R34" s="10"/>
      <c r="S34" s="10"/>
      <c r="T34" s="10"/>
      <c r="V34" s="131"/>
      <c r="W34" s="10"/>
      <c r="X34" s="10">
        <v>0</v>
      </c>
      <c r="Y34" s="10">
        <v>0</v>
      </c>
      <c r="Z34" s="10"/>
      <c r="AA34" s="10"/>
      <c r="AB34" s="10"/>
    </row>
    <row r="35" spans="2:28" ht="15.6">
      <c r="B35" s="72" t="s">
        <v>81</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72" t="s">
        <v>81</v>
      </c>
      <c r="W35" s="9">
        <v>320565</v>
      </c>
      <c r="X35" s="9">
        <v>507468</v>
      </c>
      <c r="Y35" s="9">
        <v>325454</v>
      </c>
      <c r="Z35" s="9">
        <v>319640</v>
      </c>
      <c r="AA35" s="9">
        <v>571756</v>
      </c>
      <c r="AB35" s="9">
        <v>525839</v>
      </c>
    </row>
    <row r="36" spans="2:28" ht="15.6">
      <c r="B36" s="74" t="s">
        <v>82</v>
      </c>
      <c r="C36" s="57">
        <v>2136629</v>
      </c>
      <c r="D36" s="57">
        <v>1437936</v>
      </c>
      <c r="E36" s="57">
        <v>297574</v>
      </c>
      <c r="F36" s="57">
        <v>232257</v>
      </c>
      <c r="G36" s="57">
        <v>413027</v>
      </c>
      <c r="H36" s="57">
        <v>581524</v>
      </c>
      <c r="I36" s="57">
        <v>353125</v>
      </c>
      <c r="J36" s="57">
        <v>439090</v>
      </c>
      <c r="K36" s="57">
        <v>405851</v>
      </c>
      <c r="L36" s="57">
        <v>440666</v>
      </c>
      <c r="M36" s="57">
        <v>414024</v>
      </c>
      <c r="N36" s="57">
        <v>579285</v>
      </c>
      <c r="O36" s="57">
        <v>566126</v>
      </c>
      <c r="P36" s="57">
        <v>499756</v>
      </c>
      <c r="Q36" s="57">
        <v>507935</v>
      </c>
      <c r="R36" s="57">
        <v>585892</v>
      </c>
      <c r="S36" s="57">
        <v>121366</v>
      </c>
      <c r="T36" s="57">
        <v>450344</v>
      </c>
      <c r="V36" s="74" t="s">
        <v>82</v>
      </c>
      <c r="W36" s="57">
        <v>431380</v>
      </c>
      <c r="X36" s="57">
        <v>670417</v>
      </c>
      <c r="Y36" s="57">
        <v>668025</v>
      </c>
      <c r="Z36" s="57">
        <v>432759</v>
      </c>
      <c r="AA36" s="57">
        <v>828100</v>
      </c>
      <c r="AB36" s="57">
        <v>693740</v>
      </c>
    </row>
    <row r="37" spans="2:28" ht="15.6">
      <c r="B37" s="132"/>
      <c r="Q37" s="586">
        <v>0.24093936167261254</v>
      </c>
      <c r="R37" s="586">
        <v>0.24763523688086508</v>
      </c>
      <c r="S37" s="586">
        <v>0.40690518494588918</v>
      </c>
      <c r="T37" s="586">
        <v>0.16087358140749936</v>
      </c>
    </row>
    <row r="38" spans="2:28" ht="15.6">
      <c r="B38" s="132"/>
    </row>
    <row r="39" spans="2:28" ht="15.6">
      <c r="B39" s="132" t="s">
        <v>83</v>
      </c>
      <c r="V39" s="74" t="s">
        <v>84</v>
      </c>
      <c r="W39" s="57">
        <v>1965304</v>
      </c>
      <c r="X39" s="57">
        <v>2226468</v>
      </c>
      <c r="Y39" s="57">
        <v>2276675</v>
      </c>
      <c r="Z39" s="57">
        <v>2093645</v>
      </c>
      <c r="AA39" s="57">
        <v>2711640</v>
      </c>
      <c r="AB39" s="57">
        <v>2394363</v>
      </c>
    </row>
    <row r="40" spans="2:28" ht="15.6">
      <c r="B40" s="528"/>
    </row>
    <row r="41" spans="2:28" ht="15.6">
      <c r="B41" s="528"/>
    </row>
    <row r="42" spans="2:28" ht="15">
      <c r="B42" s="11" t="s">
        <v>85</v>
      </c>
      <c r="C42" s="7"/>
      <c r="D42" s="7"/>
      <c r="E42" s="7"/>
      <c r="F42" s="7"/>
      <c r="G42" s="7"/>
      <c r="H42" s="12"/>
      <c r="I42" s="12"/>
      <c r="J42" s="12"/>
      <c r="K42" s="12"/>
      <c r="L42" s="12"/>
    </row>
    <row r="43" spans="2:28" ht="15">
      <c r="B43" s="13" t="s">
        <v>86</v>
      </c>
      <c r="C43" s="7"/>
      <c r="D43" s="7"/>
      <c r="E43" s="7"/>
      <c r="F43" s="7"/>
      <c r="G43" s="7"/>
      <c r="H43" s="14"/>
      <c r="I43" s="14"/>
      <c r="J43" s="14"/>
      <c r="K43" s="14"/>
      <c r="L43" s="14"/>
    </row>
    <row r="44" spans="2:28" ht="15.6">
      <c r="B44" s="79"/>
      <c r="C44" s="7"/>
      <c r="D44" s="7"/>
      <c r="E44" s="7"/>
      <c r="F44" s="7"/>
      <c r="G44" s="7"/>
      <c r="H44" s="15"/>
      <c r="I44" s="15"/>
      <c r="J44" s="15"/>
      <c r="K44" s="15"/>
      <c r="L44" s="15"/>
    </row>
    <row r="45" spans="2:28" ht="16.2" thickBot="1">
      <c r="B45" s="80"/>
      <c r="C45" s="284"/>
      <c r="D45" s="284"/>
      <c r="E45" s="284"/>
      <c r="F45" s="284"/>
      <c r="G45" s="284"/>
      <c r="H45" s="284"/>
      <c r="I45" s="284"/>
      <c r="J45" s="284"/>
      <c r="K45" s="284"/>
      <c r="L45" s="284"/>
      <c r="M45" s="284"/>
      <c r="N45" s="284"/>
      <c r="O45" s="284"/>
      <c r="P45" s="284"/>
      <c r="Q45" s="284"/>
      <c r="R45" s="284"/>
      <c r="S45" s="284"/>
      <c r="T45" s="284"/>
      <c r="V45" s="80"/>
      <c r="W45" s="27" t="s">
        <v>87</v>
      </c>
      <c r="X45" s="27" t="s">
        <v>56</v>
      </c>
      <c r="Y45" s="27" t="s">
        <v>57</v>
      </c>
      <c r="Z45" s="27" t="s">
        <v>1154</v>
      </c>
      <c r="AA45" s="27" t="s">
        <v>1169</v>
      </c>
      <c r="AB45" s="27" t="s">
        <v>1207</v>
      </c>
    </row>
    <row r="46" spans="2:28" ht="15.6" thickBot="1">
      <c r="B46" s="82" t="s">
        <v>88</v>
      </c>
      <c r="C46" s="16"/>
      <c r="D46" s="16"/>
      <c r="E46" s="16"/>
      <c r="F46" s="16"/>
      <c r="G46" s="16"/>
      <c r="H46" s="16"/>
      <c r="I46" s="16"/>
      <c r="J46" s="16"/>
      <c r="K46" s="16"/>
      <c r="L46" s="16"/>
      <c r="M46" s="16"/>
      <c r="N46" s="285"/>
      <c r="O46" s="285"/>
      <c r="P46" s="285"/>
      <c r="Q46" s="285"/>
      <c r="R46" s="285"/>
      <c r="S46" s="285"/>
      <c r="T46" s="285"/>
      <c r="V46" s="82" t="s">
        <v>88</v>
      </c>
      <c r="W46" s="285"/>
      <c r="X46" s="285"/>
      <c r="Y46" s="285"/>
      <c r="Z46" s="285"/>
      <c r="AA46" s="285"/>
      <c r="AB46" s="285"/>
    </row>
    <row r="47" spans="2:28" ht="15.6" thickBot="1">
      <c r="B47" s="84" t="s">
        <v>89</v>
      </c>
      <c r="C47" s="286"/>
      <c r="D47" s="286"/>
      <c r="E47" s="286"/>
      <c r="F47" s="286"/>
      <c r="G47" s="286"/>
      <c r="H47" s="286"/>
      <c r="I47" s="286"/>
      <c r="J47" s="286"/>
      <c r="K47" s="286"/>
      <c r="L47" s="286"/>
      <c r="M47" s="286"/>
      <c r="N47" s="286"/>
      <c r="O47" s="286"/>
      <c r="P47" s="286"/>
      <c r="Q47" s="286"/>
      <c r="R47" s="286"/>
      <c r="S47" s="268"/>
      <c r="T47" s="268"/>
      <c r="V47" s="84" t="s">
        <v>89</v>
      </c>
      <c r="W47" s="268"/>
      <c r="X47" s="268"/>
      <c r="Y47" s="268"/>
      <c r="Z47" s="268"/>
      <c r="AA47" s="268"/>
      <c r="AB47" s="268"/>
    </row>
    <row r="48" spans="2:28" ht="15.6" thickBot="1">
      <c r="B48" s="86" t="s">
        <v>90</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66">
        <v>3781713</v>
      </c>
      <c r="Q48" s="266">
        <v>3437159</v>
      </c>
      <c r="R48" s="266">
        <v>4745206</v>
      </c>
      <c r="S48" s="266">
        <v>4967287</v>
      </c>
      <c r="T48" s="266">
        <v>4686462</v>
      </c>
      <c r="V48" s="86" t="s">
        <v>90</v>
      </c>
      <c r="W48" s="266">
        <v>4768417</v>
      </c>
      <c r="X48" s="266">
        <v>4766464</v>
      </c>
      <c r="Y48" s="266">
        <v>5007943</v>
      </c>
      <c r="Z48" s="266">
        <v>5369350</v>
      </c>
      <c r="AA48" s="266">
        <v>6691898.5977499308</v>
      </c>
      <c r="AB48" s="266">
        <v>4449949.6949351104</v>
      </c>
    </row>
    <row r="49" spans="2:28" ht="15.6" thickBot="1">
      <c r="B49" s="86" t="s">
        <v>91</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66">
        <v>5171007</v>
      </c>
      <c r="Q49" s="266">
        <v>5167613</v>
      </c>
      <c r="R49" s="266">
        <v>4779221</v>
      </c>
      <c r="S49" s="266">
        <v>4982876</v>
      </c>
      <c r="T49" s="266">
        <v>5260260</v>
      </c>
      <c r="V49" s="86" t="s">
        <v>91</v>
      </c>
      <c r="W49" s="266">
        <v>5280483</v>
      </c>
      <c r="X49" s="266">
        <v>5857522</v>
      </c>
      <c r="Y49" s="266">
        <v>6736997</v>
      </c>
      <c r="Z49" s="266">
        <v>7423870</v>
      </c>
      <c r="AA49" s="266">
        <v>7115576.3976169489</v>
      </c>
      <c r="AB49" s="266">
        <v>6731432.0722665396</v>
      </c>
    </row>
    <row r="50" spans="2:28" ht="15.6" thickBot="1">
      <c r="B50" s="86" t="s">
        <v>92</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66">
        <v>260466</v>
      </c>
      <c r="Q50" s="266">
        <v>361090</v>
      </c>
      <c r="R50" s="266">
        <v>426452</v>
      </c>
      <c r="S50" s="266">
        <v>484816</v>
      </c>
      <c r="T50" s="266">
        <v>271444</v>
      </c>
      <c r="V50" s="86" t="s">
        <v>92</v>
      </c>
      <c r="W50" s="266">
        <v>264541</v>
      </c>
      <c r="X50" s="266">
        <v>337760</v>
      </c>
      <c r="Y50" s="266">
        <v>357945</v>
      </c>
      <c r="Z50" s="266">
        <v>384069</v>
      </c>
      <c r="AA50" s="266">
        <v>409121.8995764798</v>
      </c>
      <c r="AB50" s="266">
        <v>480142.55997209897</v>
      </c>
    </row>
    <row r="51" spans="2:28" ht="15.6" thickBot="1">
      <c r="B51" s="86" t="s">
        <v>93</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66">
        <v>100645</v>
      </c>
      <c r="Q51" s="266">
        <v>107602</v>
      </c>
      <c r="R51" s="266">
        <v>117081</v>
      </c>
      <c r="S51" s="266">
        <v>116938</v>
      </c>
      <c r="T51" s="266">
        <v>125392</v>
      </c>
      <c r="V51" s="86" t="s">
        <v>93</v>
      </c>
      <c r="W51" s="266">
        <v>126491</v>
      </c>
      <c r="X51" s="266">
        <v>141514</v>
      </c>
      <c r="Y51" s="266">
        <v>167607</v>
      </c>
      <c r="Z51" s="266">
        <v>197370</v>
      </c>
      <c r="AA51" s="266">
        <v>195771.86359443254</v>
      </c>
      <c r="AB51" s="266">
        <v>180128.84111232299</v>
      </c>
    </row>
    <row r="52" spans="2:28" ht="15.6" thickBot="1">
      <c r="B52" s="86" t="s">
        <v>94</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66">
        <v>394877</v>
      </c>
      <c r="Q52" s="266">
        <v>397795</v>
      </c>
      <c r="R52" s="266">
        <v>372692</v>
      </c>
      <c r="S52" s="266">
        <v>465324</v>
      </c>
      <c r="T52" s="266">
        <v>326432</v>
      </c>
      <c r="V52" s="86" t="s">
        <v>94</v>
      </c>
      <c r="W52" s="266">
        <v>375997</v>
      </c>
      <c r="X52" s="266">
        <v>371061</v>
      </c>
      <c r="Y52" s="266">
        <v>351185</v>
      </c>
      <c r="Z52" s="266">
        <v>347090</v>
      </c>
      <c r="AA52" s="266">
        <v>412028.70962449425</v>
      </c>
      <c r="AB52" s="266">
        <v>467887.091341778</v>
      </c>
    </row>
    <row r="53" spans="2:28" ht="15.6" thickBot="1">
      <c r="B53" s="86" t="s">
        <v>95</v>
      </c>
      <c r="C53" s="17">
        <v>0</v>
      </c>
      <c r="D53" s="17">
        <v>335</v>
      </c>
      <c r="E53" s="17">
        <v>5000</v>
      </c>
      <c r="F53" s="17">
        <v>2160</v>
      </c>
      <c r="G53" s="17">
        <v>603</v>
      </c>
      <c r="H53" s="17">
        <v>31</v>
      </c>
      <c r="I53" s="17">
        <v>575</v>
      </c>
      <c r="J53" s="17">
        <v>4625</v>
      </c>
      <c r="K53" s="17">
        <v>7426</v>
      </c>
      <c r="L53" s="17">
        <v>126</v>
      </c>
      <c r="M53" s="17">
        <v>98</v>
      </c>
      <c r="N53" s="17">
        <v>164</v>
      </c>
      <c r="O53" s="17">
        <v>189.69200000000001</v>
      </c>
      <c r="P53" s="266">
        <v>77</v>
      </c>
      <c r="Q53" s="266">
        <v>83</v>
      </c>
      <c r="R53" s="266">
        <v>138</v>
      </c>
      <c r="S53" s="266">
        <v>110</v>
      </c>
      <c r="T53" s="266">
        <v>113</v>
      </c>
      <c r="V53" s="86" t="s">
        <v>95</v>
      </c>
      <c r="W53" s="266">
        <v>0</v>
      </c>
      <c r="X53" s="266">
        <v>114</v>
      </c>
      <c r="Y53" s="266">
        <v>212</v>
      </c>
      <c r="Z53" s="266">
        <v>222</v>
      </c>
      <c r="AA53" s="266"/>
      <c r="AB53" s="266"/>
    </row>
    <row r="54" spans="2:28" ht="15.6" thickBot="1">
      <c r="B54" s="88" t="s">
        <v>96</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67">
        <v>9708785</v>
      </c>
      <c r="Q54" s="267">
        <v>9471342</v>
      </c>
      <c r="R54" s="267">
        <v>10440790</v>
      </c>
      <c r="S54" s="267">
        <v>11017351</v>
      </c>
      <c r="T54" s="267">
        <v>10670103</v>
      </c>
      <c r="V54" s="88" t="s">
        <v>96</v>
      </c>
      <c r="W54" s="267">
        <v>10815929</v>
      </c>
      <c r="X54" s="267">
        <v>11474435</v>
      </c>
      <c r="Y54" s="267">
        <v>12621889</v>
      </c>
      <c r="Z54" s="267">
        <v>13721971</v>
      </c>
      <c r="AA54" s="267">
        <v>14824397.468162285</v>
      </c>
      <c r="AB54" s="267">
        <v>12309540.259627851</v>
      </c>
    </row>
    <row r="55" spans="2:28" ht="15.6" thickBot="1">
      <c r="B55" s="84" t="s">
        <v>97</v>
      </c>
      <c r="C55" s="286"/>
      <c r="D55" s="286"/>
      <c r="E55" s="286"/>
      <c r="F55" s="286"/>
      <c r="G55" s="286"/>
      <c r="H55" s="286"/>
      <c r="I55" s="286"/>
      <c r="J55" s="286"/>
      <c r="K55" s="286"/>
      <c r="L55" s="286"/>
      <c r="M55" s="286"/>
      <c r="N55" s="286"/>
      <c r="O55" s="286"/>
      <c r="P55" s="268"/>
      <c r="Q55" s="268"/>
      <c r="R55" s="268">
        <v>0</v>
      </c>
      <c r="S55" s="268"/>
      <c r="T55" s="268"/>
      <c r="V55" s="84" t="s">
        <v>97</v>
      </c>
      <c r="W55" s="268"/>
      <c r="X55" s="268"/>
      <c r="Y55" s="268"/>
      <c r="Z55" s="268"/>
      <c r="AA55" s="268"/>
      <c r="AB55" s="268"/>
    </row>
    <row r="56" spans="2:28" ht="15.6" thickBot="1">
      <c r="B56" s="86" t="s">
        <v>98</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66">
        <v>217646</v>
      </c>
      <c r="Q56" s="266">
        <v>330867</v>
      </c>
      <c r="R56" s="266">
        <v>322747</v>
      </c>
      <c r="S56" s="266">
        <v>63739</v>
      </c>
      <c r="T56" s="266">
        <v>138688</v>
      </c>
      <c r="V56" s="86" t="s">
        <v>98</v>
      </c>
      <c r="W56" s="266">
        <v>145222</v>
      </c>
      <c r="X56" s="266">
        <v>217813</v>
      </c>
      <c r="Y56" s="266">
        <v>333464</v>
      </c>
      <c r="Z56" s="266">
        <v>328283</v>
      </c>
      <c r="AA56" s="266">
        <v>275128.68331259745</v>
      </c>
      <c r="AB56" s="266">
        <v>614360.027761893</v>
      </c>
    </row>
    <row r="57" spans="2:28" ht="15.6" thickBot="1">
      <c r="B57" s="86" t="s">
        <v>99</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66">
        <v>5156</v>
      </c>
      <c r="Q57" s="266">
        <v>11486</v>
      </c>
      <c r="R57" s="266">
        <v>14349</v>
      </c>
      <c r="S57" s="266">
        <v>18933</v>
      </c>
      <c r="T57" s="266">
        <v>5274</v>
      </c>
      <c r="V57" s="86" t="s">
        <v>99</v>
      </c>
      <c r="W57" s="266">
        <v>8409</v>
      </c>
      <c r="X57" s="266">
        <v>13707</v>
      </c>
      <c r="Y57" s="266">
        <v>19786</v>
      </c>
      <c r="Z57" s="266">
        <v>8570</v>
      </c>
      <c r="AA57" s="266">
        <v>29973.894066005036</v>
      </c>
      <c r="AB57" s="266">
        <v>5576.0723597921497</v>
      </c>
    </row>
    <row r="58" spans="2:28" ht="15.6" thickBot="1">
      <c r="B58" s="86" t="s">
        <v>100</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66">
        <v>3124526</v>
      </c>
      <c r="Q58" s="266">
        <v>3286100</v>
      </c>
      <c r="R58" s="266">
        <v>3732594</v>
      </c>
      <c r="S58" s="266">
        <v>3637681</v>
      </c>
      <c r="T58" s="266">
        <v>3719877</v>
      </c>
      <c r="V58" s="86" t="s">
        <v>100</v>
      </c>
      <c r="W58" s="266">
        <v>4243596</v>
      </c>
      <c r="X58" s="266">
        <v>4401210</v>
      </c>
      <c r="Y58" s="266">
        <v>4902904</v>
      </c>
      <c r="Z58" s="266">
        <v>5281171</v>
      </c>
      <c r="AA58" s="266">
        <v>5347788.808291764</v>
      </c>
      <c r="AB58" s="266">
        <v>5175872.8972267201</v>
      </c>
    </row>
    <row r="59" spans="2:28" ht="15.6" thickBot="1">
      <c r="B59" s="86" t="s">
        <v>101</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66">
        <v>17102</v>
      </c>
      <c r="Q59" s="266">
        <v>17148</v>
      </c>
      <c r="R59" s="266">
        <v>17325</v>
      </c>
      <c r="S59" s="505">
        <v>17468</v>
      </c>
      <c r="T59" s="266">
        <v>17468</v>
      </c>
      <c r="V59" s="86" t="s">
        <v>101</v>
      </c>
      <c r="W59" s="266">
        <v>18741</v>
      </c>
      <c r="X59" s="266">
        <v>19062</v>
      </c>
      <c r="Y59" s="266">
        <v>19569</v>
      </c>
      <c r="Z59" s="266">
        <v>19242</v>
      </c>
      <c r="AA59" s="266">
        <v>19437.907875389999</v>
      </c>
      <c r="AB59" s="266">
        <v>19205.6810277271</v>
      </c>
    </row>
    <row r="60" spans="2:28" ht="15.6" thickBot="1">
      <c r="B60" s="86" t="s">
        <v>91</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66">
        <v>18845990</v>
      </c>
      <c r="Q60" s="266">
        <v>20570903</v>
      </c>
      <c r="R60" s="266">
        <v>23844889</v>
      </c>
      <c r="S60" s="505">
        <v>22822894</v>
      </c>
      <c r="T60" s="266">
        <v>23435289</v>
      </c>
      <c r="V60" s="86" t="s">
        <v>91</v>
      </c>
      <c r="W60" s="266">
        <v>25723585</v>
      </c>
      <c r="X60" s="266">
        <v>25621538</v>
      </c>
      <c r="Y60" s="266">
        <v>27806745</v>
      </c>
      <c r="Z60" s="266">
        <v>31591010</v>
      </c>
      <c r="AA60" s="266">
        <v>32212742.410536569</v>
      </c>
      <c r="AB60" s="266">
        <v>31299762.081798397</v>
      </c>
    </row>
    <row r="61" spans="2:28" ht="15.6" thickBot="1">
      <c r="B61" s="86" t="s">
        <v>102</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66">
        <v>64521</v>
      </c>
      <c r="Q61" s="266">
        <v>64648</v>
      </c>
      <c r="R61" s="266">
        <v>65549</v>
      </c>
      <c r="S61" s="505">
        <v>67821</v>
      </c>
      <c r="T61" s="266">
        <v>65599</v>
      </c>
      <c r="V61" s="86" t="s">
        <v>102</v>
      </c>
      <c r="W61" s="266">
        <v>72502</v>
      </c>
      <c r="X61" s="266">
        <v>70677</v>
      </c>
      <c r="Y61" s="266">
        <v>76601</v>
      </c>
      <c r="Z61" s="266">
        <v>103325</v>
      </c>
      <c r="AA61" s="266">
        <v>107472.5177994744</v>
      </c>
      <c r="AB61" s="266">
        <v>136921.359274774</v>
      </c>
    </row>
    <row r="62" spans="2:28" ht="15.6" thickBot="1">
      <c r="B62" s="86" t="s">
        <v>103</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503">
        <v>12179180</v>
      </c>
      <c r="Q62" s="266">
        <v>12328996</v>
      </c>
      <c r="R62" s="266">
        <v>12578580</v>
      </c>
      <c r="S62" s="505">
        <v>12736366</v>
      </c>
      <c r="T62" s="266">
        <v>12973393</v>
      </c>
      <c r="V62" s="86" t="s">
        <v>103</v>
      </c>
      <c r="W62" s="266">
        <v>12796356</v>
      </c>
      <c r="X62" s="266">
        <v>13287418</v>
      </c>
      <c r="Y62" s="266">
        <v>13837031</v>
      </c>
      <c r="Z62" s="266">
        <v>14484288</v>
      </c>
      <c r="AA62" s="266">
        <v>14468171.429702993</v>
      </c>
      <c r="AB62" s="266">
        <v>14113703.553242698</v>
      </c>
    </row>
    <row r="63" spans="2:28" ht="15.6" thickBot="1">
      <c r="B63" s="86" t="s">
        <v>104</v>
      </c>
      <c r="C63" s="17">
        <v>0</v>
      </c>
      <c r="D63" s="17">
        <v>0</v>
      </c>
      <c r="E63" s="17">
        <v>0</v>
      </c>
      <c r="F63" s="17">
        <v>0</v>
      </c>
      <c r="G63" s="17">
        <v>0</v>
      </c>
      <c r="H63" s="17">
        <v>0</v>
      </c>
      <c r="I63" s="17">
        <v>0</v>
      </c>
      <c r="J63" s="17">
        <v>0</v>
      </c>
      <c r="K63" s="17">
        <v>0</v>
      </c>
      <c r="L63" s="17">
        <v>0</v>
      </c>
      <c r="M63" s="17">
        <v>0</v>
      </c>
      <c r="N63" s="17">
        <v>0</v>
      </c>
      <c r="O63" s="17">
        <v>0</v>
      </c>
      <c r="P63" s="266">
        <v>0</v>
      </c>
      <c r="Q63" s="266">
        <v>0</v>
      </c>
      <c r="R63" s="266">
        <v>0</v>
      </c>
      <c r="S63" s="505">
        <v>0</v>
      </c>
      <c r="T63" s="266">
        <v>0</v>
      </c>
      <c r="V63" s="86" t="s">
        <v>104</v>
      </c>
      <c r="W63" s="266"/>
      <c r="X63" s="266">
        <v>0</v>
      </c>
      <c r="Y63" s="266">
        <v>0</v>
      </c>
      <c r="Z63" s="266" t="s">
        <v>1155</v>
      </c>
      <c r="AA63" s="266">
        <v>0</v>
      </c>
      <c r="AB63" s="266">
        <v>0</v>
      </c>
    </row>
    <row r="64" spans="2:28" ht="15.6" thickBot="1">
      <c r="B64" s="86" t="s">
        <v>105</v>
      </c>
      <c r="C64" s="17">
        <v>0</v>
      </c>
      <c r="D64" s="17">
        <v>0</v>
      </c>
      <c r="E64" s="17">
        <v>0</v>
      </c>
      <c r="F64" s="17">
        <v>0</v>
      </c>
      <c r="G64" s="17">
        <v>0</v>
      </c>
      <c r="H64" s="17">
        <v>0</v>
      </c>
      <c r="I64" s="17">
        <v>0</v>
      </c>
      <c r="J64" s="17">
        <v>0</v>
      </c>
      <c r="K64" s="17">
        <v>0</v>
      </c>
      <c r="L64" s="17">
        <v>0</v>
      </c>
      <c r="M64" s="17">
        <v>0</v>
      </c>
      <c r="N64" s="17">
        <v>0</v>
      </c>
      <c r="O64" s="17">
        <v>0</v>
      </c>
      <c r="P64" s="266">
        <v>0</v>
      </c>
      <c r="Q64" s="266">
        <v>0</v>
      </c>
      <c r="R64" s="266">
        <v>0</v>
      </c>
      <c r="S64" s="505">
        <v>0</v>
      </c>
      <c r="T64" s="266">
        <v>0</v>
      </c>
      <c r="V64" s="86" t="s">
        <v>105</v>
      </c>
      <c r="W64" s="266"/>
      <c r="X64" s="266">
        <v>0</v>
      </c>
      <c r="Y64" s="266">
        <v>0</v>
      </c>
      <c r="Z64" s="266" t="s">
        <v>1155</v>
      </c>
      <c r="AA64" s="266">
        <v>0</v>
      </c>
      <c r="AB64" s="266">
        <v>0</v>
      </c>
    </row>
    <row r="65" spans="2:28" ht="15.6" thickBot="1">
      <c r="B65" s="86" t="s">
        <v>106</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66">
        <v>8277346</v>
      </c>
      <c r="Q65" s="266">
        <v>9435310</v>
      </c>
      <c r="R65" s="266">
        <v>9613978</v>
      </c>
      <c r="S65" s="505">
        <v>9763450</v>
      </c>
      <c r="T65" s="266">
        <v>10246813</v>
      </c>
      <c r="V65" s="86" t="s">
        <v>106</v>
      </c>
      <c r="W65" s="266">
        <v>9772257</v>
      </c>
      <c r="X65" s="266">
        <v>10646635</v>
      </c>
      <c r="Y65" s="266">
        <v>11781603</v>
      </c>
      <c r="Z65" s="266">
        <v>12736745</v>
      </c>
      <c r="AA65" s="266">
        <v>12394270.37784477</v>
      </c>
      <c r="AB65" s="266">
        <v>11305597.126815099</v>
      </c>
    </row>
    <row r="66" spans="2:28" ht="15.6" thickBot="1">
      <c r="B66" s="86" t="s">
        <v>94</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66">
        <v>128094</v>
      </c>
      <c r="Q66" s="266">
        <v>174641</v>
      </c>
      <c r="R66" s="266">
        <v>176565</v>
      </c>
      <c r="S66" s="266">
        <v>180300</v>
      </c>
      <c r="T66" s="266">
        <v>168915</v>
      </c>
      <c r="V66" s="86" t="s">
        <v>94</v>
      </c>
      <c r="W66" s="266">
        <v>164657</v>
      </c>
      <c r="X66" s="266">
        <v>144969</v>
      </c>
      <c r="Y66" s="266">
        <v>148509</v>
      </c>
      <c r="Z66" s="266">
        <v>166207</v>
      </c>
      <c r="AA66" s="266">
        <v>174810.26892863633</v>
      </c>
      <c r="AB66" s="266">
        <v>160024.172905552</v>
      </c>
    </row>
    <row r="67" spans="2:28" ht="15.6" thickBot="1">
      <c r="B67" s="86" t="s">
        <v>107</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66">
        <v>1608436</v>
      </c>
      <c r="Q67" s="266">
        <v>1700617</v>
      </c>
      <c r="R67" s="266">
        <v>1816483</v>
      </c>
      <c r="S67" s="266">
        <v>2247971</v>
      </c>
      <c r="T67" s="266">
        <v>256432</v>
      </c>
      <c r="V67" s="86" t="s">
        <v>107</v>
      </c>
      <c r="W67" s="266">
        <v>247997</v>
      </c>
      <c r="X67" s="266">
        <v>292548</v>
      </c>
      <c r="Y67" s="266">
        <v>283085</v>
      </c>
      <c r="Z67" s="266">
        <v>292707</v>
      </c>
      <c r="AA67" s="266">
        <v>270136.17092449783</v>
      </c>
      <c r="AB67" s="266">
        <v>229652.770569418</v>
      </c>
    </row>
    <row r="68" spans="2:28" ht="15.6" thickBot="1">
      <c r="B68" s="86" t="s">
        <v>108</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66">
        <v>0</v>
      </c>
      <c r="Q68" s="266">
        <v>224684</v>
      </c>
      <c r="R68" s="266">
        <v>0</v>
      </c>
      <c r="S68" s="266">
        <v>0</v>
      </c>
      <c r="T68" s="266">
        <v>0</v>
      </c>
      <c r="V68" s="86" t="s">
        <v>108</v>
      </c>
      <c r="W68" s="266"/>
      <c r="X68" s="266">
        <v>0</v>
      </c>
      <c r="Y68" s="266">
        <v>0</v>
      </c>
      <c r="Z68" s="266" t="s">
        <v>1155</v>
      </c>
      <c r="AA68" s="266">
        <v>0</v>
      </c>
      <c r="AB68" s="266">
        <v>0</v>
      </c>
    </row>
    <row r="69" spans="2:28" ht="15.6" thickBot="1">
      <c r="B69" s="86" t="s">
        <v>109</v>
      </c>
      <c r="C69" s="17">
        <v>0</v>
      </c>
      <c r="D69" s="17">
        <v>0</v>
      </c>
      <c r="E69" s="17">
        <v>0</v>
      </c>
      <c r="F69" s="17">
        <v>0</v>
      </c>
      <c r="G69" s="17">
        <v>0</v>
      </c>
      <c r="H69" s="17">
        <v>0</v>
      </c>
      <c r="I69" s="17">
        <v>0</v>
      </c>
      <c r="J69" s="17">
        <v>0</v>
      </c>
      <c r="K69" s="17">
        <v>0</v>
      </c>
      <c r="L69" s="17">
        <v>1390</v>
      </c>
      <c r="M69" s="17">
        <v>0</v>
      </c>
      <c r="N69" s="17">
        <v>1782</v>
      </c>
      <c r="O69" s="17">
        <v>409.58699999999999</v>
      </c>
      <c r="P69" s="266">
        <v>0</v>
      </c>
      <c r="Q69" s="266">
        <v>379</v>
      </c>
      <c r="R69" s="266">
        <v>0</v>
      </c>
      <c r="S69" s="266">
        <v>0</v>
      </c>
      <c r="T69" s="266">
        <v>0</v>
      </c>
      <c r="V69" s="86" t="s">
        <v>109</v>
      </c>
      <c r="W69" s="266"/>
      <c r="X69" s="266">
        <v>0</v>
      </c>
      <c r="Y69" s="266">
        <v>0</v>
      </c>
      <c r="Z69" s="266" t="s">
        <v>1155</v>
      </c>
      <c r="AA69" s="266"/>
      <c r="AB69" s="266"/>
    </row>
    <row r="70" spans="2:28" ht="15.6" thickBot="1">
      <c r="B70" s="86" t="s">
        <v>95</v>
      </c>
      <c r="C70" s="17">
        <v>0</v>
      </c>
      <c r="D70" s="17">
        <v>0</v>
      </c>
      <c r="E70" s="17">
        <v>1216</v>
      </c>
      <c r="F70" s="17">
        <v>151</v>
      </c>
      <c r="G70" s="17">
        <v>2</v>
      </c>
      <c r="H70" s="17">
        <v>335</v>
      </c>
      <c r="I70" s="17">
        <v>389</v>
      </c>
      <c r="J70" s="17">
        <v>337</v>
      </c>
      <c r="K70" s="17">
        <v>337</v>
      </c>
      <c r="L70" s="17">
        <v>335</v>
      </c>
      <c r="M70" s="17">
        <v>337</v>
      </c>
      <c r="N70" s="17">
        <v>337</v>
      </c>
      <c r="O70" s="17">
        <v>336.62700000000001</v>
      </c>
      <c r="P70" s="503">
        <v>17287</v>
      </c>
      <c r="Q70" s="266">
        <v>19267</v>
      </c>
      <c r="R70" s="266">
        <v>337</v>
      </c>
      <c r="S70" s="266">
        <v>337</v>
      </c>
      <c r="T70" s="266">
        <v>335</v>
      </c>
      <c r="V70" s="86" t="s">
        <v>95</v>
      </c>
      <c r="W70" s="266">
        <v>0</v>
      </c>
      <c r="X70" s="266">
        <v>335</v>
      </c>
      <c r="Y70" s="266">
        <v>336</v>
      </c>
      <c r="Z70" s="266">
        <v>335</v>
      </c>
      <c r="AA70" s="266"/>
      <c r="AB70" s="266"/>
    </row>
    <row r="71" spans="2:28" ht="15.6" thickBot="1">
      <c r="B71" s="84" t="s">
        <v>110</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69">
        <v>44485284</v>
      </c>
      <c r="Q71" s="269">
        <v>48165046</v>
      </c>
      <c r="R71" s="269">
        <v>52183396</v>
      </c>
      <c r="S71" s="269">
        <v>51556960</v>
      </c>
      <c r="T71" s="269">
        <v>51028083</v>
      </c>
      <c r="V71" s="84" t="s">
        <v>110</v>
      </c>
      <c r="W71" s="269">
        <v>53193322</v>
      </c>
      <c r="X71" s="269">
        <v>54715912</v>
      </c>
      <c r="Y71" s="269">
        <v>59209633</v>
      </c>
      <c r="Z71" s="269">
        <v>65011883</v>
      </c>
      <c r="AA71" s="269">
        <v>65299932.469282694</v>
      </c>
      <c r="AB71" s="269">
        <v>63060675.742982067</v>
      </c>
    </row>
    <row r="72" spans="2:28" ht="15.6" thickBot="1">
      <c r="B72" s="92" t="s">
        <v>111</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70">
        <v>54194069</v>
      </c>
      <c r="Q72" s="270">
        <v>57636388</v>
      </c>
      <c r="R72" s="270">
        <v>62624186</v>
      </c>
      <c r="S72" s="270">
        <v>62574311</v>
      </c>
      <c r="T72" s="270">
        <v>61698186</v>
      </c>
      <c r="V72" s="92" t="s">
        <v>111</v>
      </c>
      <c r="W72" s="270">
        <v>64009251</v>
      </c>
      <c r="X72" s="270">
        <v>66190347</v>
      </c>
      <c r="Y72" s="270">
        <v>71831522</v>
      </c>
      <c r="Z72" s="270">
        <v>78733854</v>
      </c>
      <c r="AA72" s="270">
        <v>80124329.937444985</v>
      </c>
      <c r="AB72" s="270">
        <v>75370216.002609923</v>
      </c>
    </row>
    <row r="73" spans="2:28" ht="15.6" thickBot="1">
      <c r="B73" s="95"/>
      <c r="C73" s="21"/>
      <c r="D73" s="21"/>
      <c r="E73" s="21"/>
      <c r="F73" s="21"/>
      <c r="G73" s="21"/>
      <c r="H73" s="21"/>
      <c r="I73" s="21"/>
      <c r="J73" s="21"/>
      <c r="K73" s="21"/>
      <c r="L73" s="21"/>
      <c r="M73" s="21"/>
      <c r="N73" s="21"/>
      <c r="O73" s="21"/>
      <c r="P73" s="274"/>
      <c r="S73" s="274"/>
      <c r="T73" s="274"/>
      <c r="V73" s="95"/>
      <c r="W73" s="274"/>
      <c r="X73" s="274">
        <v>0</v>
      </c>
      <c r="Y73" s="274">
        <v>0</v>
      </c>
      <c r="Z73" s="274"/>
      <c r="AA73" s="274"/>
      <c r="AB73" s="274"/>
    </row>
    <row r="74" spans="2:28" ht="15.6" thickBot="1">
      <c r="B74" s="82" t="s">
        <v>112</v>
      </c>
      <c r="C74" s="22"/>
      <c r="D74" s="22"/>
      <c r="E74" s="22"/>
      <c r="F74" s="22"/>
      <c r="G74" s="22"/>
      <c r="H74" s="22"/>
      <c r="I74" s="22"/>
      <c r="J74" s="22"/>
      <c r="K74" s="22"/>
      <c r="L74" s="22"/>
      <c r="M74" s="22"/>
      <c r="N74" s="22"/>
      <c r="O74" s="22"/>
      <c r="P74" s="271"/>
      <c r="Q74" s="271"/>
      <c r="R74" s="271"/>
      <c r="S74" s="271"/>
      <c r="T74" s="271"/>
      <c r="V74" s="82" t="s">
        <v>112</v>
      </c>
      <c r="W74" s="271"/>
      <c r="X74" s="271"/>
      <c r="Y74" s="271"/>
      <c r="Z74" s="271"/>
      <c r="AA74" s="271"/>
      <c r="AB74" s="271"/>
    </row>
    <row r="75" spans="2:28" ht="15.6" thickBot="1">
      <c r="B75" s="84" t="s">
        <v>113</v>
      </c>
      <c r="C75" s="23"/>
      <c r="D75" s="23"/>
      <c r="E75" s="23"/>
      <c r="F75" s="23"/>
      <c r="G75" s="23"/>
      <c r="H75" s="23"/>
      <c r="I75" s="23"/>
      <c r="J75" s="23"/>
      <c r="K75" s="23"/>
      <c r="L75" s="23"/>
      <c r="M75" s="23"/>
      <c r="N75" s="23"/>
      <c r="O75" s="23"/>
      <c r="P75" s="272"/>
      <c r="Q75" s="272"/>
      <c r="R75" s="272"/>
      <c r="S75" s="272"/>
      <c r="T75" s="272"/>
      <c r="V75" s="84" t="s">
        <v>113</v>
      </c>
      <c r="W75" s="272"/>
      <c r="X75" s="272"/>
      <c r="Y75" s="272"/>
      <c r="Z75" s="272"/>
      <c r="AA75" s="272"/>
      <c r="AB75" s="272"/>
    </row>
    <row r="76" spans="2:28" ht="15.6" thickBot="1">
      <c r="B76" s="86" t="s">
        <v>114</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66">
        <v>1266015</v>
      </c>
      <c r="Q76" s="266">
        <v>1586526</v>
      </c>
      <c r="R76" s="266">
        <v>2772660</v>
      </c>
      <c r="S76" s="266">
        <v>3029718</v>
      </c>
      <c r="T76" s="266">
        <v>2866267</v>
      </c>
      <c r="V76" s="86" t="s">
        <v>114</v>
      </c>
      <c r="W76" s="266">
        <v>2581547</v>
      </c>
      <c r="X76" s="266">
        <v>2034435</v>
      </c>
      <c r="Y76" s="266">
        <v>1866502</v>
      </c>
      <c r="Z76" s="266">
        <v>2080458</v>
      </c>
      <c r="AA76" s="266">
        <v>2370843.5887758983</v>
      </c>
      <c r="AB76" s="266">
        <v>4093471.5831333799</v>
      </c>
    </row>
    <row r="77" spans="2:28" ht="15.6" thickBot="1">
      <c r="B77" s="86" t="s">
        <v>115</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66">
        <v>996573</v>
      </c>
      <c r="Q77" s="266">
        <v>2864357</v>
      </c>
      <c r="R77" s="266">
        <v>2328817</v>
      </c>
      <c r="S77" s="266">
        <v>1364141</v>
      </c>
      <c r="T77" s="266">
        <v>949140</v>
      </c>
      <c r="V77" s="86" t="s">
        <v>115</v>
      </c>
      <c r="W77" s="266">
        <v>1781819</v>
      </c>
      <c r="X77" s="266">
        <v>1755325</v>
      </c>
      <c r="Y77" s="266">
        <v>1548931</v>
      </c>
      <c r="Z77" s="266">
        <v>1704252</v>
      </c>
      <c r="AA77" s="266">
        <v>3593768.2757746279</v>
      </c>
      <c r="AB77" s="266">
        <v>1968371.2759768502</v>
      </c>
    </row>
    <row r="78" spans="2:28" ht="15.6" thickBot="1">
      <c r="B78" s="86" t="s">
        <v>116</v>
      </c>
      <c r="C78" s="17">
        <v>0</v>
      </c>
      <c r="D78" s="17">
        <v>53</v>
      </c>
      <c r="E78" s="17">
        <v>68400</v>
      </c>
      <c r="F78" s="17">
        <v>2075</v>
      </c>
      <c r="G78" s="17">
        <v>99</v>
      </c>
      <c r="H78" s="17">
        <v>0</v>
      </c>
      <c r="I78" s="17">
        <v>0</v>
      </c>
      <c r="J78" s="17">
        <v>0</v>
      </c>
      <c r="K78" s="17">
        <v>62</v>
      </c>
      <c r="L78" s="17">
        <v>59</v>
      </c>
      <c r="M78" s="17">
        <v>75</v>
      </c>
      <c r="N78" s="17">
        <v>73</v>
      </c>
      <c r="O78" s="17">
        <v>0</v>
      </c>
      <c r="P78" s="266">
        <v>62</v>
      </c>
      <c r="Q78" s="266">
        <v>67</v>
      </c>
      <c r="R78" s="266">
        <v>68</v>
      </c>
      <c r="S78" s="266">
        <v>51</v>
      </c>
      <c r="T78" s="266">
        <v>0</v>
      </c>
      <c r="V78" s="86" t="s">
        <v>116</v>
      </c>
      <c r="W78" s="266"/>
      <c r="X78" s="266">
        <v>0</v>
      </c>
      <c r="Y78" s="266">
        <v>0</v>
      </c>
      <c r="Z78" s="266" t="s">
        <v>1155</v>
      </c>
      <c r="AA78" s="266">
        <v>0</v>
      </c>
      <c r="AB78" s="266">
        <v>0</v>
      </c>
    </row>
    <row r="79" spans="2:28" ht="15.6" thickBot="1">
      <c r="B79" s="86" t="s">
        <v>117</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66">
        <v>120979</v>
      </c>
      <c r="Q79" s="266">
        <v>108104</v>
      </c>
      <c r="R79" s="266">
        <v>117147</v>
      </c>
      <c r="S79" s="266">
        <v>138087</v>
      </c>
      <c r="T79" s="266">
        <v>140154</v>
      </c>
      <c r="V79" s="86" t="s">
        <v>117</v>
      </c>
      <c r="W79" s="266">
        <v>118930</v>
      </c>
      <c r="X79" s="266">
        <v>128620</v>
      </c>
      <c r="Y79" s="266">
        <v>162656</v>
      </c>
      <c r="Z79" s="266">
        <v>165248</v>
      </c>
      <c r="AA79" s="266">
        <v>134211.59528957563</v>
      </c>
      <c r="AB79" s="266">
        <v>151470.060710914</v>
      </c>
    </row>
    <row r="80" spans="2:28" ht="15.6" thickBot="1">
      <c r="B80" s="86" t="s">
        <v>92</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66">
        <v>376021</v>
      </c>
      <c r="Q80" s="266">
        <v>547982</v>
      </c>
      <c r="R80" s="266">
        <v>644816</v>
      </c>
      <c r="S80" s="266">
        <v>763735</v>
      </c>
      <c r="T80" s="266">
        <v>369353</v>
      </c>
      <c r="V80" s="86" t="s">
        <v>92</v>
      </c>
      <c r="W80" s="266">
        <v>382270</v>
      </c>
      <c r="X80" s="266">
        <v>392333</v>
      </c>
      <c r="Y80" s="266">
        <v>487252</v>
      </c>
      <c r="Z80" s="266">
        <v>629568</v>
      </c>
      <c r="AA80" s="266">
        <v>509761.40545463003</v>
      </c>
      <c r="AB80" s="266">
        <v>386184.70880042604</v>
      </c>
    </row>
    <row r="81" spans="2:28" ht="15.6" thickBot="1">
      <c r="B81" s="86" t="s">
        <v>118</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66">
        <v>368985</v>
      </c>
      <c r="Q81" s="266">
        <v>404022</v>
      </c>
      <c r="R81" s="266">
        <v>418503</v>
      </c>
      <c r="S81" s="266">
        <v>392568</v>
      </c>
      <c r="T81" s="266">
        <v>154089</v>
      </c>
      <c r="V81" s="86" t="s">
        <v>118</v>
      </c>
      <c r="W81" s="266">
        <v>142509</v>
      </c>
      <c r="X81" s="266">
        <v>150927</v>
      </c>
      <c r="Y81" s="266">
        <v>161205</v>
      </c>
      <c r="Z81" s="266">
        <v>206613</v>
      </c>
      <c r="AA81" s="266">
        <v>204642.60314068786</v>
      </c>
      <c r="AB81" s="266">
        <v>203442.88739143399</v>
      </c>
    </row>
    <row r="82" spans="2:28" ht="15.6" thickBot="1">
      <c r="B82" s="86" t="s">
        <v>119</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66">
        <v>274406</v>
      </c>
      <c r="Q82" s="266">
        <v>175774</v>
      </c>
      <c r="R82" s="266">
        <v>157508</v>
      </c>
      <c r="S82" s="266">
        <v>323252</v>
      </c>
      <c r="T82" s="266">
        <v>491046</v>
      </c>
      <c r="V82" s="86" t="s">
        <v>119</v>
      </c>
      <c r="W82" s="266">
        <v>385564</v>
      </c>
      <c r="X82" s="266">
        <v>360425</v>
      </c>
      <c r="Y82" s="266">
        <v>379046</v>
      </c>
      <c r="Z82" s="266">
        <v>573918</v>
      </c>
      <c r="AA82" s="266">
        <v>485251.31811975775</v>
      </c>
      <c r="AB82" s="266">
        <v>435913.81942687405</v>
      </c>
    </row>
    <row r="83" spans="2:28" ht="15.6" thickBot="1">
      <c r="B83" s="86" t="s">
        <v>120</v>
      </c>
      <c r="C83" s="17">
        <v>0</v>
      </c>
      <c r="D83" s="17">
        <v>0</v>
      </c>
      <c r="E83" s="17">
        <v>219</v>
      </c>
      <c r="F83" s="17">
        <v>0</v>
      </c>
      <c r="G83" s="17">
        <v>0</v>
      </c>
      <c r="H83" s="17">
        <v>0</v>
      </c>
      <c r="I83" s="17">
        <v>0</v>
      </c>
      <c r="J83" s="17">
        <v>0</v>
      </c>
      <c r="K83" s="17">
        <v>0</v>
      </c>
      <c r="L83" s="17">
        <v>0</v>
      </c>
      <c r="M83" s="17">
        <v>0</v>
      </c>
      <c r="N83" s="17">
        <v>0</v>
      </c>
      <c r="O83" s="17">
        <v>0</v>
      </c>
      <c r="P83" s="266">
        <v>0</v>
      </c>
      <c r="Q83" s="266">
        <v>0</v>
      </c>
      <c r="R83" s="266">
        <v>0</v>
      </c>
      <c r="S83" s="266">
        <v>0</v>
      </c>
      <c r="T83" s="266">
        <v>0</v>
      </c>
      <c r="V83" s="86" t="s">
        <v>120</v>
      </c>
      <c r="W83" s="266"/>
      <c r="X83" s="266">
        <v>0</v>
      </c>
      <c r="Y83" s="266">
        <v>0</v>
      </c>
      <c r="Z83" s="266" t="s">
        <v>1155</v>
      </c>
      <c r="AA83" s="266">
        <v>0</v>
      </c>
      <c r="AB83" s="266">
        <v>0</v>
      </c>
    </row>
    <row r="84" spans="2:28" ht="15.6" thickBot="1">
      <c r="B84" s="84" t="s">
        <v>121</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69">
        <v>3403041</v>
      </c>
      <c r="Q84" s="269">
        <v>5686832</v>
      </c>
      <c r="R84" s="269">
        <v>6439519</v>
      </c>
      <c r="S84" s="269">
        <v>6011552</v>
      </c>
      <c r="T84" s="269">
        <v>4970049</v>
      </c>
      <c r="V84" s="84" t="s">
        <v>121</v>
      </c>
      <c r="W84" s="269">
        <v>5392639</v>
      </c>
      <c r="X84" s="269">
        <v>4822065</v>
      </c>
      <c r="Y84" s="269">
        <v>4605592</v>
      </c>
      <c r="Z84" s="269">
        <v>5360057</v>
      </c>
      <c r="AA84" s="269">
        <v>7298478.7865551775</v>
      </c>
      <c r="AB84" s="269">
        <v>7238854.3354398785</v>
      </c>
    </row>
    <row r="85" spans="2:28" ht="15.6" thickBot="1">
      <c r="B85" s="100" t="s">
        <v>122</v>
      </c>
      <c r="C85" s="24"/>
      <c r="D85" s="24"/>
      <c r="E85" s="24"/>
      <c r="F85" s="24"/>
      <c r="G85" s="24"/>
      <c r="H85" s="24"/>
      <c r="I85" s="24"/>
      <c r="J85" s="24"/>
      <c r="K85" s="24"/>
      <c r="L85" s="24"/>
      <c r="M85" s="24"/>
      <c r="N85" s="24"/>
      <c r="O85" s="24"/>
      <c r="P85" s="273"/>
      <c r="Q85" s="273"/>
      <c r="R85" s="273"/>
      <c r="S85" s="273"/>
      <c r="T85" s="273"/>
      <c r="V85" s="100" t="s">
        <v>122</v>
      </c>
      <c r="W85" s="273"/>
      <c r="X85" s="273"/>
      <c r="Y85" s="273"/>
      <c r="Z85" s="273"/>
      <c r="AA85" s="273"/>
      <c r="AB85" s="273"/>
    </row>
    <row r="86" spans="2:28" ht="15.6" thickBot="1">
      <c r="B86" s="86" t="s">
        <v>114</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66">
        <v>21202820</v>
      </c>
      <c r="Q86" s="266">
        <v>22385117</v>
      </c>
      <c r="R86" s="266">
        <v>23361384</v>
      </c>
      <c r="S86" s="266">
        <v>23906515</v>
      </c>
      <c r="T86" s="266">
        <v>25074175</v>
      </c>
      <c r="V86" s="86" t="s">
        <v>114</v>
      </c>
      <c r="W86" s="266">
        <v>25388202</v>
      </c>
      <c r="X86" s="266">
        <v>26868430</v>
      </c>
      <c r="Y86" s="266">
        <v>29676480</v>
      </c>
      <c r="Z86" s="266">
        <v>32089642</v>
      </c>
      <c r="AA86" s="266">
        <v>32475669.628843427</v>
      </c>
      <c r="AB86" s="266">
        <v>28508160.911063198</v>
      </c>
    </row>
    <row r="87" spans="2:28" ht="15.6" thickBot="1">
      <c r="B87" s="86" t="s">
        <v>115</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66">
        <v>222268</v>
      </c>
      <c r="Q87" s="266">
        <v>1199239</v>
      </c>
      <c r="R87" s="266">
        <v>1201491</v>
      </c>
      <c r="S87" s="266">
        <v>241803</v>
      </c>
      <c r="T87" s="266">
        <v>215467</v>
      </c>
      <c r="V87" s="86" t="s">
        <v>115</v>
      </c>
      <c r="W87" s="266">
        <v>250428</v>
      </c>
      <c r="X87" s="266">
        <v>221758</v>
      </c>
      <c r="Y87" s="266">
        <v>226989</v>
      </c>
      <c r="Z87" s="266">
        <v>227633</v>
      </c>
      <c r="AA87" s="266">
        <v>214244.66229394136</v>
      </c>
      <c r="AB87" s="266">
        <v>192924.279147917</v>
      </c>
    </row>
    <row r="88" spans="2:28" ht="15.6" thickBot="1">
      <c r="B88" s="86" t="s">
        <v>123</v>
      </c>
      <c r="C88" s="17">
        <v>482</v>
      </c>
      <c r="D88" s="17">
        <v>294</v>
      </c>
      <c r="E88" s="17">
        <v>3143</v>
      </c>
      <c r="F88" s="17">
        <v>2471</v>
      </c>
      <c r="G88" s="17">
        <v>49</v>
      </c>
      <c r="H88" s="17">
        <v>0</v>
      </c>
      <c r="I88" s="17">
        <v>0</v>
      </c>
      <c r="J88" s="17">
        <v>0</v>
      </c>
      <c r="K88" s="17">
        <v>0</v>
      </c>
      <c r="L88" s="17">
        <v>0</v>
      </c>
      <c r="M88" s="17">
        <v>0</v>
      </c>
      <c r="N88" s="17">
        <v>0</v>
      </c>
      <c r="O88" s="17">
        <v>0</v>
      </c>
      <c r="P88" s="266">
        <v>0</v>
      </c>
      <c r="Q88" s="266">
        <v>0</v>
      </c>
      <c r="R88" s="266">
        <v>0</v>
      </c>
      <c r="S88" s="266">
        <v>-6</v>
      </c>
      <c r="T88" s="266">
        <v>0</v>
      </c>
      <c r="V88" s="86" t="s">
        <v>123</v>
      </c>
      <c r="W88" s="266"/>
      <c r="X88" s="266">
        <v>0</v>
      </c>
      <c r="Y88" s="266">
        <v>0</v>
      </c>
      <c r="Z88" s="266" t="s">
        <v>1155</v>
      </c>
      <c r="AA88" s="266">
        <v>0</v>
      </c>
      <c r="AB88" s="266">
        <v>0</v>
      </c>
    </row>
    <row r="89" spans="2:28" ht="15.6" thickBot="1">
      <c r="B89" s="86" t="s">
        <v>99</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66">
        <v>869716</v>
      </c>
      <c r="Q89" s="266">
        <v>1002171</v>
      </c>
      <c r="R89" s="266">
        <v>1185693</v>
      </c>
      <c r="S89" s="266">
        <v>1153348</v>
      </c>
      <c r="T89" s="266">
        <v>1208927</v>
      </c>
      <c r="V89" s="86" t="s">
        <v>99</v>
      </c>
      <c r="W89" s="266">
        <v>1379322</v>
      </c>
      <c r="X89" s="266">
        <v>1428158</v>
      </c>
      <c r="Y89" s="266">
        <v>1532525</v>
      </c>
      <c r="Z89" s="266">
        <v>1705412</v>
      </c>
      <c r="AA89" s="266">
        <v>1732523.7197706937</v>
      </c>
      <c r="AB89" s="266">
        <v>1691220.1706926201</v>
      </c>
    </row>
    <row r="90" spans="2:28" ht="15.6" thickBot="1">
      <c r="B90" s="86" t="s">
        <v>117</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66">
        <v>781100</v>
      </c>
      <c r="Q90" s="266">
        <v>793608</v>
      </c>
      <c r="R90" s="266">
        <v>844516</v>
      </c>
      <c r="S90" s="266">
        <v>838512</v>
      </c>
      <c r="T90" s="266">
        <v>769153</v>
      </c>
      <c r="V90" s="86" t="s">
        <v>117</v>
      </c>
      <c r="W90" s="266">
        <v>823569</v>
      </c>
      <c r="X90" s="266">
        <v>837564</v>
      </c>
      <c r="Y90" s="266">
        <v>878289</v>
      </c>
      <c r="Z90" s="266">
        <v>479839</v>
      </c>
      <c r="AA90" s="266">
        <v>485889.62534154684</v>
      </c>
      <c r="AB90" s="266">
        <v>480394.19538492197</v>
      </c>
    </row>
    <row r="91" spans="2:28" ht="15.6" thickBot="1">
      <c r="B91" s="86" t="s">
        <v>118</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66">
        <v>247877</v>
      </c>
      <c r="Q91" s="266">
        <v>293984</v>
      </c>
      <c r="R91" s="266">
        <v>309852</v>
      </c>
      <c r="S91" s="266">
        <v>312828</v>
      </c>
      <c r="T91" s="266">
        <v>337270</v>
      </c>
      <c r="V91" s="86" t="s">
        <v>118</v>
      </c>
      <c r="W91" s="266">
        <v>338076</v>
      </c>
      <c r="X91" s="266">
        <v>359333</v>
      </c>
      <c r="Y91" s="266">
        <v>387472</v>
      </c>
      <c r="Z91" s="266">
        <v>487586</v>
      </c>
      <c r="AA91" s="266">
        <v>504413.58962639369</v>
      </c>
      <c r="AB91" s="266">
        <v>457934.629522442</v>
      </c>
    </row>
    <row r="92" spans="2:28" ht="15.6" thickBot="1">
      <c r="B92" s="86" t="s">
        <v>119</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66">
        <v>1541354</v>
      </c>
      <c r="Q92" s="266">
        <v>454777</v>
      </c>
      <c r="R92" s="266">
        <v>451281</v>
      </c>
      <c r="S92" s="266">
        <v>1298751</v>
      </c>
      <c r="T92" s="266">
        <v>1347113</v>
      </c>
      <c r="V92" s="86" t="s">
        <v>119</v>
      </c>
      <c r="W92" s="266">
        <v>1332162</v>
      </c>
      <c r="X92" s="266">
        <v>1316542</v>
      </c>
      <c r="Y92" s="266">
        <v>1339174</v>
      </c>
      <c r="Z92" s="266">
        <v>1653701</v>
      </c>
      <c r="AA92" s="266">
        <v>1687162.8554894375</v>
      </c>
      <c r="AB92" s="266">
        <v>1645610.4105021202</v>
      </c>
    </row>
    <row r="93" spans="2:28" ht="15.6" thickBot="1">
      <c r="B93" s="86" t="s">
        <v>107</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66">
        <v>5779700</v>
      </c>
      <c r="Q93" s="266">
        <v>6340649</v>
      </c>
      <c r="R93" s="266">
        <v>6936500</v>
      </c>
      <c r="S93" s="266">
        <v>7369836</v>
      </c>
      <c r="T93" s="266">
        <v>5643037</v>
      </c>
      <c r="V93" s="86" t="s">
        <v>107</v>
      </c>
      <c r="W93" s="266">
        <v>6033456</v>
      </c>
      <c r="X93" s="266">
        <v>6052354</v>
      </c>
      <c r="Y93" s="266">
        <v>6505603</v>
      </c>
      <c r="Z93" s="266">
        <v>7179613</v>
      </c>
      <c r="AA93" s="266">
        <v>7261366.5211192276</v>
      </c>
      <c r="AB93" s="266">
        <v>6927921.8248306792</v>
      </c>
    </row>
    <row r="94" spans="2:28" ht="15.6" thickBot="1">
      <c r="B94" s="84" t="s">
        <v>124</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69">
        <v>30644835</v>
      </c>
      <c r="Q94" s="269">
        <v>32469545</v>
      </c>
      <c r="R94" s="269">
        <v>34290717</v>
      </c>
      <c r="S94" s="269">
        <v>35121587</v>
      </c>
      <c r="T94" s="269">
        <v>34595142</v>
      </c>
      <c r="V94" s="84" t="s">
        <v>124</v>
      </c>
      <c r="W94" s="269">
        <v>35545215</v>
      </c>
      <c r="X94" s="269">
        <v>37084139</v>
      </c>
      <c r="Y94" s="269">
        <v>40546532</v>
      </c>
      <c r="Z94" s="269">
        <v>43823426</v>
      </c>
      <c r="AA94" s="269">
        <v>44361270.602484673</v>
      </c>
      <c r="AB94" s="269">
        <v>39904166.421143897</v>
      </c>
    </row>
    <row r="95" spans="2:28" ht="15.6" thickBot="1">
      <c r="B95" s="92" t="s">
        <v>125</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70">
        <v>34047876</v>
      </c>
      <c r="Q95" s="270">
        <v>38156377</v>
      </c>
      <c r="R95" s="270">
        <v>40730236</v>
      </c>
      <c r="S95" s="270">
        <v>41133139</v>
      </c>
      <c r="T95" s="270">
        <v>39565191</v>
      </c>
      <c r="V95" s="92" t="s">
        <v>125</v>
      </c>
      <c r="W95" s="270">
        <v>40937854</v>
      </c>
      <c r="X95" s="270">
        <v>41906204</v>
      </c>
      <c r="Y95" s="270">
        <v>45152124</v>
      </c>
      <c r="Z95" s="270">
        <v>49183483</v>
      </c>
      <c r="AA95" s="270">
        <v>51659749.389039852</v>
      </c>
      <c r="AB95" s="270">
        <v>47143020.756583773</v>
      </c>
    </row>
    <row r="96" spans="2:28" ht="15.6" thickBot="1">
      <c r="B96" s="95"/>
      <c r="C96" s="21"/>
      <c r="D96" s="21"/>
      <c r="E96" s="21"/>
      <c r="F96" s="21"/>
      <c r="G96" s="21"/>
      <c r="H96" s="21"/>
      <c r="I96" s="21"/>
      <c r="J96" s="21"/>
      <c r="K96" s="21"/>
      <c r="L96" s="21"/>
      <c r="M96" s="21"/>
      <c r="N96" s="21"/>
      <c r="O96" s="21"/>
      <c r="P96" s="274"/>
      <c r="Q96" s="274"/>
      <c r="R96" s="274">
        <v>0</v>
      </c>
      <c r="S96" s="274"/>
      <c r="T96" s="274"/>
      <c r="V96" s="95"/>
      <c r="W96" s="274"/>
      <c r="X96" s="274">
        <v>0</v>
      </c>
      <c r="Y96" s="274">
        <v>0</v>
      </c>
      <c r="Z96" s="274"/>
      <c r="AA96" s="274"/>
      <c r="AB96" s="274"/>
    </row>
    <row r="97" spans="2:28" ht="15.6" thickBot="1">
      <c r="B97" s="102" t="s">
        <v>126</v>
      </c>
      <c r="C97" s="24"/>
      <c r="D97" s="24"/>
      <c r="E97" s="24"/>
      <c r="F97" s="24"/>
      <c r="G97" s="24"/>
      <c r="H97" s="24"/>
      <c r="I97" s="24"/>
      <c r="J97" s="24"/>
      <c r="K97" s="24"/>
      <c r="L97" s="24"/>
      <c r="M97" s="24"/>
      <c r="N97" s="24"/>
      <c r="O97" s="24"/>
      <c r="P97" s="273"/>
      <c r="Q97" s="273"/>
      <c r="R97" s="273"/>
      <c r="S97" s="273"/>
      <c r="T97" s="273"/>
      <c r="V97" s="102" t="s">
        <v>126</v>
      </c>
      <c r="W97" s="273"/>
      <c r="X97" s="273"/>
      <c r="Y97" s="273"/>
      <c r="Z97" s="273"/>
      <c r="AA97" s="273"/>
      <c r="AB97" s="273"/>
    </row>
    <row r="98" spans="2:28" ht="15.6" thickBot="1">
      <c r="B98" s="86" t="s">
        <v>127</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66">
        <v>36916</v>
      </c>
      <c r="Q98" s="266">
        <v>36916</v>
      </c>
      <c r="R98" s="266">
        <v>36916</v>
      </c>
      <c r="S98" s="266">
        <v>36916</v>
      </c>
      <c r="T98" s="266">
        <v>36916</v>
      </c>
      <c r="V98" s="86" t="s">
        <v>127</v>
      </c>
      <c r="W98" s="266">
        <v>36916</v>
      </c>
      <c r="X98" s="266">
        <v>36916</v>
      </c>
      <c r="Y98" s="266">
        <v>36916</v>
      </c>
      <c r="Z98" s="266">
        <v>36916</v>
      </c>
      <c r="AA98" s="266">
        <v>36916.334930819998</v>
      </c>
      <c r="AB98" s="266">
        <v>36916.334930819998</v>
      </c>
    </row>
    <row r="99" spans="2:28" ht="15.6" thickBot="1">
      <c r="B99" s="86" t="s">
        <v>128</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66">
        <v>1428128</v>
      </c>
      <c r="Q99" s="266">
        <v>1428128</v>
      </c>
      <c r="R99" s="266">
        <v>1428128</v>
      </c>
      <c r="S99" s="266">
        <v>1428128</v>
      </c>
      <c r="T99" s="266">
        <v>1428128</v>
      </c>
      <c r="V99" s="86" t="s">
        <v>128</v>
      </c>
      <c r="W99" s="266">
        <v>1428128</v>
      </c>
      <c r="X99" s="266">
        <v>1428128</v>
      </c>
      <c r="Y99" s="266">
        <v>1428128</v>
      </c>
      <c r="Z99" s="266">
        <v>1428128</v>
      </c>
      <c r="AA99" s="266">
        <v>1428127.8913155899</v>
      </c>
      <c r="AB99" s="266">
        <v>1428127.8913155901</v>
      </c>
    </row>
    <row r="100" spans="2:28" ht="15.6" thickBot="1">
      <c r="B100" s="86" t="s">
        <v>129</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66">
        <v>6241845</v>
      </c>
      <c r="Q100" s="266">
        <v>6861491</v>
      </c>
      <c r="R100" s="266">
        <v>6861491</v>
      </c>
      <c r="S100" s="266">
        <v>6861491</v>
      </c>
      <c r="T100" s="266">
        <v>6861491</v>
      </c>
      <c r="V100" s="86" t="s">
        <v>129</v>
      </c>
      <c r="W100" s="266">
        <v>7690798</v>
      </c>
      <c r="X100" s="266">
        <v>7690798</v>
      </c>
      <c r="Y100" s="266">
        <v>7690798</v>
      </c>
      <c r="Z100" s="266">
        <v>7690798</v>
      </c>
      <c r="AA100" s="266">
        <v>7952815.7595383106</v>
      </c>
      <c r="AB100" s="266">
        <v>7952815.7595383096</v>
      </c>
    </row>
    <row r="101" spans="2:28" ht="15.6" thickBot="1">
      <c r="B101" s="86" t="s">
        <v>130</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66">
        <v>3207681</v>
      </c>
      <c r="Q101" s="266">
        <v>3203922</v>
      </c>
      <c r="R101" s="266">
        <v>3203922</v>
      </c>
      <c r="S101" s="266">
        <v>3203922</v>
      </c>
      <c r="T101" s="266">
        <v>3203921</v>
      </c>
      <c r="V101" s="86" t="s">
        <v>130</v>
      </c>
      <c r="W101" s="266">
        <v>3210907</v>
      </c>
      <c r="X101" s="266">
        <v>3210907</v>
      </c>
      <c r="Y101" s="266">
        <v>3210907</v>
      </c>
      <c r="Z101" s="266">
        <v>3210907</v>
      </c>
      <c r="AA101" s="266">
        <v>3221890.7407756574</v>
      </c>
      <c r="AB101" s="266">
        <v>3221890.7407756601</v>
      </c>
    </row>
    <row r="102" spans="2:28" ht="15.6" thickBot="1">
      <c r="B102" s="86" t="s">
        <v>131</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66">
        <v>2059191</v>
      </c>
      <c r="Q102" s="266">
        <v>507935</v>
      </c>
      <c r="R102" s="266">
        <v>1093826</v>
      </c>
      <c r="S102" s="266">
        <v>1215193</v>
      </c>
      <c r="T102" s="266">
        <v>1665536</v>
      </c>
      <c r="V102" s="86" t="s">
        <v>131</v>
      </c>
      <c r="W102" s="266">
        <v>431380</v>
      </c>
      <c r="X102" s="266">
        <v>1101797</v>
      </c>
      <c r="Y102" s="266">
        <v>1769822</v>
      </c>
      <c r="Z102" s="266">
        <v>2202581</v>
      </c>
      <c r="AA102" s="266">
        <v>828098.77903309581</v>
      </c>
      <c r="AB102" s="266">
        <v>1522088.32032619</v>
      </c>
    </row>
    <row r="103" spans="2:28" ht="15.6" thickBot="1">
      <c r="B103" s="86" t="s">
        <v>132</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66">
        <v>194014</v>
      </c>
      <c r="Q103" s="266">
        <v>745958</v>
      </c>
      <c r="R103" s="266">
        <v>1288773</v>
      </c>
      <c r="S103" s="266">
        <v>984049</v>
      </c>
      <c r="T103" s="266">
        <v>1167865</v>
      </c>
      <c r="V103" s="86" t="s">
        <v>132</v>
      </c>
      <c r="W103" s="266">
        <v>1562608</v>
      </c>
      <c r="X103" s="266">
        <v>1547106</v>
      </c>
      <c r="Y103" s="266">
        <v>2287569</v>
      </c>
      <c r="Z103" s="266">
        <v>3866489</v>
      </c>
      <c r="AA103" s="266">
        <v>3816397.2389936801</v>
      </c>
      <c r="AB103" s="266">
        <v>2834340.8166604103</v>
      </c>
    </row>
    <row r="104" spans="2:28" ht="30.6" thickBot="1">
      <c r="B104" s="133" t="s">
        <v>133</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75">
        <v>13167775</v>
      </c>
      <c r="Q104" s="275">
        <v>12784350</v>
      </c>
      <c r="R104" s="275">
        <v>13913056</v>
      </c>
      <c r="S104" s="275">
        <v>13729699</v>
      </c>
      <c r="T104" s="275">
        <v>14363857</v>
      </c>
      <c r="V104" s="133" t="s">
        <v>133</v>
      </c>
      <c r="W104" s="275">
        <v>14360737</v>
      </c>
      <c r="X104" s="275">
        <v>15015652</v>
      </c>
      <c r="Y104" s="275">
        <v>16424140</v>
      </c>
      <c r="Z104" s="275">
        <v>18435819</v>
      </c>
      <c r="AA104" s="275">
        <v>17284246.744587153</v>
      </c>
      <c r="AB104" s="275">
        <v>16996179.863546982</v>
      </c>
    </row>
    <row r="105" spans="2:28" ht="15.6" thickBot="1">
      <c r="B105" s="134" t="s">
        <v>134</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66">
        <v>6978418</v>
      </c>
      <c r="Q105" s="266">
        <v>6695661</v>
      </c>
      <c r="R105" s="266">
        <v>7980894</v>
      </c>
      <c r="S105" s="266">
        <v>7711473</v>
      </c>
      <c r="T105" s="266">
        <v>7769138</v>
      </c>
      <c r="V105" s="134" t="s">
        <v>134</v>
      </c>
      <c r="W105" s="266">
        <v>8710660</v>
      </c>
      <c r="X105" s="266">
        <v>9268491</v>
      </c>
      <c r="Y105" s="266">
        <v>10255258</v>
      </c>
      <c r="Z105" s="266">
        <v>11114552</v>
      </c>
      <c r="AA105" s="266">
        <v>11180333.803903667</v>
      </c>
      <c r="AB105" s="266">
        <v>11231015.3824724</v>
      </c>
    </row>
    <row r="106" spans="2:28" ht="15.6" thickBot="1">
      <c r="B106" s="84" t="s">
        <v>135</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69">
        <v>20146193</v>
      </c>
      <c r="Q106" s="269">
        <v>19480011</v>
      </c>
      <c r="R106" s="269">
        <v>21893950</v>
      </c>
      <c r="S106" s="269">
        <v>21441172</v>
      </c>
      <c r="T106" s="269">
        <v>22132995</v>
      </c>
      <c r="V106" s="84" t="s">
        <v>135</v>
      </c>
      <c r="W106" s="269">
        <v>23071397</v>
      </c>
      <c r="X106" s="269">
        <v>24284143</v>
      </c>
      <c r="Y106" s="269">
        <v>26679398</v>
      </c>
      <c r="Z106" s="269">
        <v>29550371</v>
      </c>
      <c r="AA106" s="269">
        <v>28464580.548490822</v>
      </c>
      <c r="AB106" s="269">
        <v>28227195.246019382</v>
      </c>
    </row>
    <row r="107" spans="2:28" ht="15.6" thickBot="1">
      <c r="B107" s="103" t="s">
        <v>136</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70">
        <v>54194069</v>
      </c>
      <c r="Q107" s="270">
        <v>57636388</v>
      </c>
      <c r="R107" s="270">
        <v>62624186</v>
      </c>
      <c r="S107" s="270">
        <v>62574311</v>
      </c>
      <c r="T107" s="270">
        <v>61698186</v>
      </c>
      <c r="V107" s="103" t="s">
        <v>136</v>
      </c>
      <c r="W107" s="270">
        <v>64009251</v>
      </c>
      <c r="X107" s="270">
        <v>66190347</v>
      </c>
      <c r="Y107" s="270">
        <v>71831522</v>
      </c>
      <c r="Z107" s="270">
        <v>78733854</v>
      </c>
      <c r="AA107" s="270">
        <v>80124329.937530667</v>
      </c>
      <c r="AB107" s="270">
        <v>75370216.002603158</v>
      </c>
    </row>
    <row r="108" spans="2:28">
      <c r="B108" s="7"/>
      <c r="C108" s="26">
        <v>0</v>
      </c>
      <c r="D108" s="26">
        <v>0</v>
      </c>
      <c r="E108" s="26">
        <v>0</v>
      </c>
      <c r="F108" s="26">
        <v>0</v>
      </c>
      <c r="G108" s="26">
        <v>0</v>
      </c>
      <c r="H108" s="26">
        <v>0</v>
      </c>
      <c r="I108" s="26">
        <v>0</v>
      </c>
      <c r="J108" s="26">
        <v>0</v>
      </c>
      <c r="K108" s="26">
        <v>0</v>
      </c>
      <c r="L108" s="26"/>
      <c r="M108" s="26"/>
      <c r="N108" s="26"/>
      <c r="P108" s="276">
        <v>0</v>
      </c>
      <c r="Q108" s="276">
        <v>0</v>
      </c>
      <c r="R108" s="276">
        <v>0</v>
      </c>
      <c r="S108" s="276">
        <v>0</v>
      </c>
    </row>
    <row r="109" spans="2:28">
      <c r="C109" s="32">
        <v>0</v>
      </c>
      <c r="D109" s="32">
        <v>0</v>
      </c>
      <c r="E109" s="32">
        <v>0</v>
      </c>
      <c r="F109" s="32">
        <v>0</v>
      </c>
      <c r="G109" s="32">
        <v>0</v>
      </c>
      <c r="H109" s="32">
        <v>0</v>
      </c>
      <c r="I109" s="32">
        <v>0</v>
      </c>
      <c r="J109" s="32">
        <v>0</v>
      </c>
      <c r="K109" s="32">
        <v>0</v>
      </c>
      <c r="L109" s="32"/>
      <c r="M109" s="32"/>
      <c r="N109" s="32"/>
      <c r="O109" s="32"/>
      <c r="P109" s="32"/>
      <c r="Z109" s="468"/>
      <c r="AA109" s="468"/>
      <c r="AB109" s="468"/>
    </row>
    <row r="110" spans="2:28">
      <c r="C110" s="32"/>
      <c r="D110" s="32"/>
      <c r="E110" s="32"/>
      <c r="F110" s="32"/>
      <c r="G110" s="32"/>
      <c r="H110" s="32"/>
      <c r="I110" s="32"/>
      <c r="J110" s="32"/>
      <c r="K110" s="32"/>
      <c r="L110" s="32"/>
      <c r="M110" s="32"/>
      <c r="N110" s="32"/>
    </row>
    <row r="111" spans="2:28">
      <c r="F111" s="32"/>
      <c r="G111" s="32"/>
      <c r="H111" s="32"/>
      <c r="I111" s="32"/>
      <c r="J111" s="32"/>
      <c r="K111" s="32"/>
      <c r="L111" s="32"/>
      <c r="M111" s="32"/>
      <c r="N111" s="32"/>
    </row>
  </sheetData>
  <phoneticPr fontId="194"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dimension ref="A1:N135"/>
  <sheetViews>
    <sheetView showGridLines="0" zoomScale="80" zoomScaleNormal="80" workbookViewId="0">
      <selection activeCell="I13" sqref="I13"/>
    </sheetView>
  </sheetViews>
  <sheetFormatPr baseColWidth="10" defaultColWidth="11.44140625" defaultRowHeight="14.4"/>
  <cols>
    <col min="1" max="1" width="11.88671875" bestFit="1" customWidth="1"/>
    <col min="3" max="3" width="29.109375" style="557" customWidth="1"/>
    <col min="4" max="4" width="10.88671875" customWidth="1"/>
    <col min="5" max="5" width="47.88671875" style="48" bestFit="1" customWidth="1"/>
    <col min="6" max="6" width="8.5546875" customWidth="1"/>
    <col min="7" max="7" width="12.6640625" customWidth="1"/>
    <col min="8" max="8" width="9.109375" customWidth="1"/>
    <col min="9" max="9" width="54.88671875" bestFit="1" customWidth="1"/>
    <col min="10" max="12" width="11.88671875" bestFit="1" customWidth="1"/>
  </cols>
  <sheetData>
    <row r="1" spans="1:14">
      <c r="A1" s="3" t="s">
        <v>37</v>
      </c>
    </row>
    <row r="3" spans="1:14">
      <c r="A3" s="36"/>
      <c r="B3" s="36"/>
      <c r="C3" s="558"/>
      <c r="D3" s="36"/>
      <c r="E3" s="489"/>
      <c r="F3" s="36"/>
      <c r="G3" s="36"/>
      <c r="H3" s="36"/>
    </row>
    <row r="4" spans="1:14">
      <c r="A4" s="36"/>
      <c r="B4" s="36"/>
      <c r="C4" s="558"/>
      <c r="D4" s="36"/>
      <c r="E4" s="489"/>
      <c r="F4" s="36"/>
      <c r="G4" s="36"/>
      <c r="H4" s="36"/>
    </row>
    <row r="5" spans="1:14" ht="31.05" customHeight="1">
      <c r="A5" s="36"/>
      <c r="B5" s="36"/>
      <c r="C5" s="489"/>
      <c r="D5" s="36"/>
      <c r="E5" s="36"/>
      <c r="F5" s="612" t="s">
        <v>1053</v>
      </c>
      <c r="G5" s="612" t="s">
        <v>932</v>
      </c>
      <c r="H5" s="612" t="s">
        <v>1235</v>
      </c>
      <c r="I5" s="36"/>
    </row>
    <row r="6" spans="1:14">
      <c r="A6" s="36"/>
      <c r="B6" s="36"/>
      <c r="C6" s="489"/>
      <c r="D6" s="36"/>
      <c r="E6" s="36"/>
      <c r="F6" s="556" t="s">
        <v>1054</v>
      </c>
      <c r="G6" s="556" t="s">
        <v>1055</v>
      </c>
      <c r="H6" s="520">
        <f>COUNTIF($B$11:$B$126,F6)</f>
        <v>49</v>
      </c>
      <c r="I6" s="36"/>
    </row>
    <row r="7" spans="1:14">
      <c r="A7" s="36"/>
      <c r="B7" s="36"/>
      <c r="C7" s="489"/>
      <c r="D7" s="36"/>
      <c r="E7" s="36"/>
      <c r="F7" s="556" t="s">
        <v>1056</v>
      </c>
      <c r="G7" s="556" t="s">
        <v>1057</v>
      </c>
      <c r="H7" s="520">
        <f t="shared" ref="H7:H10" si="0">COUNTIF($B$11:$B$126,F7)</f>
        <v>12</v>
      </c>
      <c r="I7" s="36"/>
    </row>
    <row r="8" spans="1:14">
      <c r="A8" s="36"/>
      <c r="B8" s="36"/>
      <c r="C8" s="489"/>
      <c r="D8" s="36"/>
      <c r="E8" s="36"/>
      <c r="F8" s="556" t="s">
        <v>1058</v>
      </c>
      <c r="G8" s="556" t="s">
        <v>1059</v>
      </c>
      <c r="H8" s="520">
        <f t="shared" si="0"/>
        <v>1</v>
      </c>
      <c r="I8" s="36"/>
    </row>
    <row r="9" spans="1:14">
      <c r="A9" s="36"/>
      <c r="B9" s="36"/>
      <c r="C9" s="489"/>
      <c r="D9" s="36"/>
      <c r="E9" s="36"/>
      <c r="F9" s="556" t="s">
        <v>1060</v>
      </c>
      <c r="G9" s="556" t="s">
        <v>1061</v>
      </c>
      <c r="H9" s="520">
        <f t="shared" si="0"/>
        <v>4</v>
      </c>
      <c r="I9" s="36"/>
    </row>
    <row r="10" spans="1:14">
      <c r="A10" s="36"/>
      <c r="B10" s="36"/>
      <c r="C10" s="489"/>
      <c r="D10" s="36"/>
      <c r="E10" s="36"/>
      <c r="F10" s="556" t="s">
        <v>1062</v>
      </c>
      <c r="G10" s="556" t="s">
        <v>1063</v>
      </c>
      <c r="H10" s="520">
        <f t="shared" si="0"/>
        <v>3</v>
      </c>
      <c r="I10" s="36"/>
    </row>
    <row r="11" spans="1:14">
      <c r="A11" s="36"/>
      <c r="B11" s="36"/>
      <c r="C11" s="489"/>
      <c r="D11" s="36"/>
      <c r="E11" s="36"/>
      <c r="F11" s="827" t="s">
        <v>1064</v>
      </c>
      <c r="G11" s="828"/>
      <c r="H11" s="520">
        <v>1</v>
      </c>
      <c r="I11" s="36"/>
    </row>
    <row r="12" spans="1:14">
      <c r="A12" s="36"/>
      <c r="B12" s="36"/>
      <c r="C12" s="489"/>
      <c r="D12" s="36"/>
      <c r="E12" s="36"/>
      <c r="F12" s="829" t="s">
        <v>1065</v>
      </c>
      <c r="G12" s="830"/>
      <c r="H12" s="521">
        <f>SUM(H6:H11)</f>
        <v>70</v>
      </c>
      <c r="I12" s="36"/>
    </row>
    <row r="13" spans="1:14">
      <c r="A13" s="36"/>
      <c r="B13" s="36"/>
      <c r="C13" s="489"/>
      <c r="D13" s="36"/>
      <c r="E13" s="36"/>
      <c r="F13" s="36"/>
      <c r="G13" s="36"/>
      <c r="H13" s="36"/>
      <c r="I13" s="36"/>
    </row>
    <row r="14" spans="1:14" s="646" customFormat="1" ht="56.4" customHeight="1">
      <c r="A14" s="645"/>
      <c r="B14" s="647" t="s">
        <v>1053</v>
      </c>
      <c r="C14" s="647" t="s">
        <v>1066</v>
      </c>
      <c r="D14" s="647" t="s">
        <v>665</v>
      </c>
      <c r="E14" s="647" t="s">
        <v>1067</v>
      </c>
      <c r="F14" s="647" t="s">
        <v>1068</v>
      </c>
      <c r="G14" s="647" t="s">
        <v>1069</v>
      </c>
      <c r="H14" s="647" t="s">
        <v>1070</v>
      </c>
      <c r="I14" s="647" t="s">
        <v>1234</v>
      </c>
    </row>
    <row r="15" spans="1:14">
      <c r="A15" s="36"/>
      <c r="B15" s="556" t="s">
        <v>1054</v>
      </c>
      <c r="C15" s="613" t="s">
        <v>1071</v>
      </c>
      <c r="D15" s="487" t="s">
        <v>1072</v>
      </c>
      <c r="E15" s="487" t="s">
        <v>1073</v>
      </c>
      <c r="F15" s="654">
        <v>1</v>
      </c>
      <c r="G15" s="654"/>
      <c r="H15" s="654">
        <v>1</v>
      </c>
      <c r="I15" s="487"/>
      <c r="J15" s="36"/>
      <c r="K15" s="36"/>
      <c r="L15" s="36"/>
      <c r="M15" s="36"/>
      <c r="N15" s="36"/>
    </row>
    <row r="16" spans="1:14">
      <c r="A16" s="36"/>
      <c r="B16" s="808" t="s">
        <v>1054</v>
      </c>
      <c r="C16" s="811" t="s">
        <v>1071</v>
      </c>
      <c r="D16" s="808" t="s">
        <v>1074</v>
      </c>
      <c r="E16" s="808" t="s">
        <v>1075</v>
      </c>
      <c r="F16" s="819"/>
      <c r="G16" s="819">
        <v>0.99999940747407889</v>
      </c>
      <c r="H16" s="819">
        <v>0.99999940747407889</v>
      </c>
      <c r="I16" s="487" t="s">
        <v>1076</v>
      </c>
    </row>
    <row r="17" spans="1:9">
      <c r="A17" s="36"/>
      <c r="B17" s="810"/>
      <c r="C17" s="813"/>
      <c r="D17" s="810"/>
      <c r="E17" s="810"/>
      <c r="F17" s="820"/>
      <c r="G17" s="820"/>
      <c r="H17" s="820"/>
      <c r="I17" s="487" t="s">
        <v>1077</v>
      </c>
    </row>
    <row r="18" spans="1:9">
      <c r="A18" s="36"/>
      <c r="B18" s="487" t="s">
        <v>1060</v>
      </c>
      <c r="C18" s="614" t="s">
        <v>1078</v>
      </c>
      <c r="D18" s="487" t="s">
        <v>1079</v>
      </c>
      <c r="E18" s="487" t="s">
        <v>1080</v>
      </c>
      <c r="F18" s="655"/>
      <c r="G18" s="655">
        <v>0.358184</v>
      </c>
      <c r="H18" s="655">
        <v>0.358184</v>
      </c>
      <c r="I18" s="487" t="s">
        <v>1170</v>
      </c>
    </row>
    <row r="19" spans="1:9">
      <c r="A19" s="36"/>
      <c r="B19" s="488" t="s">
        <v>1058</v>
      </c>
      <c r="C19" s="615" t="s">
        <v>1082</v>
      </c>
      <c r="D19" s="488" t="s">
        <v>1083</v>
      </c>
      <c r="E19" s="488" t="s">
        <v>1084</v>
      </c>
      <c r="F19" s="656">
        <v>0.2469509</v>
      </c>
      <c r="G19" s="656"/>
      <c r="H19" s="656">
        <v>0.2469509</v>
      </c>
      <c r="I19" s="487"/>
    </row>
    <row r="20" spans="1:9">
      <c r="A20" s="36"/>
      <c r="B20" s="808" t="s">
        <v>1060</v>
      </c>
      <c r="C20" s="811" t="s">
        <v>1078</v>
      </c>
      <c r="D20" s="808" t="s">
        <v>1079</v>
      </c>
      <c r="E20" s="808" t="s">
        <v>1085</v>
      </c>
      <c r="F20" s="819"/>
      <c r="G20" s="819">
        <v>0.13638350093920001</v>
      </c>
      <c r="H20" s="819">
        <v>0.13638350093920001</v>
      </c>
      <c r="I20" s="487" t="s">
        <v>1170</v>
      </c>
    </row>
    <row r="21" spans="1:9">
      <c r="A21" s="36"/>
      <c r="B21" s="809"/>
      <c r="C21" s="812"/>
      <c r="D21" s="809"/>
      <c r="E21" s="809"/>
      <c r="F21" s="831"/>
      <c r="G21" s="831"/>
      <c r="H21" s="831"/>
      <c r="I21" s="487" t="s">
        <v>1171</v>
      </c>
    </row>
    <row r="22" spans="1:9">
      <c r="A22" s="36"/>
      <c r="B22" s="809"/>
      <c r="C22" s="812"/>
      <c r="D22" s="809"/>
      <c r="E22" s="809"/>
      <c r="F22" s="831"/>
      <c r="G22" s="831"/>
      <c r="H22" s="831"/>
      <c r="I22" s="487" t="s">
        <v>1172</v>
      </c>
    </row>
    <row r="23" spans="1:9">
      <c r="A23" s="36"/>
      <c r="B23" s="810"/>
      <c r="C23" s="813"/>
      <c r="D23" s="810"/>
      <c r="E23" s="810"/>
      <c r="F23" s="820"/>
      <c r="G23" s="820"/>
      <c r="H23" s="820"/>
      <c r="I23" s="487" t="s">
        <v>1173</v>
      </c>
    </row>
    <row r="24" spans="1:9">
      <c r="A24" s="36"/>
      <c r="B24" s="808" t="s">
        <v>1060</v>
      </c>
      <c r="C24" s="811" t="s">
        <v>1078</v>
      </c>
      <c r="D24" s="808" t="s">
        <v>1079</v>
      </c>
      <c r="E24" s="808" t="s">
        <v>1089</v>
      </c>
      <c r="F24" s="819"/>
      <c r="G24" s="819">
        <v>0.35003409617439996</v>
      </c>
      <c r="H24" s="819">
        <v>0.35003409617439996</v>
      </c>
      <c r="I24" s="487" t="s">
        <v>1170</v>
      </c>
    </row>
    <row r="25" spans="1:9">
      <c r="A25" s="36"/>
      <c r="B25" s="809"/>
      <c r="C25" s="812"/>
      <c r="D25" s="809"/>
      <c r="E25" s="809"/>
      <c r="F25" s="831"/>
      <c r="G25" s="831"/>
      <c r="H25" s="831"/>
      <c r="I25" s="487" t="s">
        <v>1174</v>
      </c>
    </row>
    <row r="26" spans="1:9">
      <c r="A26" s="36"/>
      <c r="B26" s="809"/>
      <c r="C26" s="812"/>
      <c r="D26" s="809"/>
      <c r="E26" s="809"/>
      <c r="F26" s="831"/>
      <c r="G26" s="831"/>
      <c r="H26" s="831"/>
      <c r="I26" s="487" t="s">
        <v>1171</v>
      </c>
    </row>
    <row r="27" spans="1:9">
      <c r="A27" s="36"/>
      <c r="B27" s="809"/>
      <c r="C27" s="812"/>
      <c r="D27" s="809"/>
      <c r="E27" s="809"/>
      <c r="F27" s="831"/>
      <c r="G27" s="831"/>
      <c r="H27" s="831"/>
      <c r="I27" s="487" t="s">
        <v>1172</v>
      </c>
    </row>
    <row r="28" spans="1:9">
      <c r="A28" s="36"/>
      <c r="B28" s="809"/>
      <c r="C28" s="812"/>
      <c r="D28" s="809"/>
      <c r="E28" s="809"/>
      <c r="F28" s="831"/>
      <c r="G28" s="831"/>
      <c r="H28" s="831"/>
      <c r="I28" s="487" t="s">
        <v>1175</v>
      </c>
    </row>
    <row r="29" spans="1:9">
      <c r="A29" s="36"/>
      <c r="B29" s="809"/>
      <c r="C29" s="812"/>
      <c r="D29" s="809"/>
      <c r="E29" s="809"/>
      <c r="F29" s="831"/>
      <c r="G29" s="831"/>
      <c r="H29" s="831"/>
      <c r="I29" s="487" t="s">
        <v>1176</v>
      </c>
    </row>
    <row r="30" spans="1:9">
      <c r="A30" s="36"/>
      <c r="B30" s="809"/>
      <c r="C30" s="812"/>
      <c r="D30" s="809"/>
      <c r="E30" s="809"/>
      <c r="F30" s="831"/>
      <c r="G30" s="831"/>
      <c r="H30" s="831"/>
      <c r="I30" s="487" t="s">
        <v>1173</v>
      </c>
    </row>
    <row r="31" spans="1:9">
      <c r="A31" s="36"/>
      <c r="B31" s="809"/>
      <c r="C31" s="812"/>
      <c r="D31" s="809"/>
      <c r="E31" s="809"/>
      <c r="F31" s="831"/>
      <c r="G31" s="831"/>
      <c r="H31" s="831"/>
      <c r="I31" s="487" t="s">
        <v>1177</v>
      </c>
    </row>
    <row r="32" spans="1:9">
      <c r="A32" s="36"/>
      <c r="B32" s="809"/>
      <c r="C32" s="812"/>
      <c r="D32" s="809"/>
      <c r="E32" s="809"/>
      <c r="F32" s="831"/>
      <c r="G32" s="831"/>
      <c r="H32" s="831"/>
      <c r="I32" s="487" t="s">
        <v>1178</v>
      </c>
    </row>
    <row r="33" spans="1:9">
      <c r="A33" s="36"/>
      <c r="B33" s="809"/>
      <c r="C33" s="812"/>
      <c r="D33" s="809"/>
      <c r="E33" s="809"/>
      <c r="F33" s="831"/>
      <c r="G33" s="831"/>
      <c r="H33" s="831"/>
      <c r="I33" s="487" t="s">
        <v>1179</v>
      </c>
    </row>
    <row r="34" spans="1:9">
      <c r="A34" s="36"/>
      <c r="B34" s="810"/>
      <c r="C34" s="813"/>
      <c r="D34" s="810"/>
      <c r="E34" s="810"/>
      <c r="F34" s="820"/>
      <c r="G34" s="820"/>
      <c r="H34" s="820"/>
      <c r="I34" s="487" t="s">
        <v>1180</v>
      </c>
    </row>
    <row r="35" spans="1:9">
      <c r="A35" s="36"/>
      <c r="B35" s="808" t="s">
        <v>1054</v>
      </c>
      <c r="C35" s="811" t="s">
        <v>1071</v>
      </c>
      <c r="D35" s="808" t="s">
        <v>1074</v>
      </c>
      <c r="E35" s="808" t="s">
        <v>1095</v>
      </c>
      <c r="F35" s="819"/>
      <c r="G35" s="819">
        <v>0.99999948837990627</v>
      </c>
      <c r="H35" s="819">
        <v>0.99999948837990627</v>
      </c>
      <c r="I35" s="487" t="s">
        <v>1076</v>
      </c>
    </row>
    <row r="36" spans="1:9">
      <c r="A36" s="36"/>
      <c r="B36" s="810"/>
      <c r="C36" s="813"/>
      <c r="D36" s="810"/>
      <c r="E36" s="810"/>
      <c r="F36" s="820"/>
      <c r="G36" s="820"/>
      <c r="H36" s="820"/>
      <c r="I36" s="487" t="s">
        <v>1077</v>
      </c>
    </row>
    <row r="37" spans="1:9">
      <c r="A37" s="36"/>
      <c r="B37" s="488" t="s">
        <v>1054</v>
      </c>
      <c r="C37" s="613" t="s">
        <v>1071</v>
      </c>
      <c r="D37" s="488" t="s">
        <v>1072</v>
      </c>
      <c r="E37" s="488" t="s">
        <v>1096</v>
      </c>
      <c r="F37" s="655"/>
      <c r="G37" s="655">
        <v>0.99999948837986319</v>
      </c>
      <c r="H37" s="655">
        <v>0.99999948837986319</v>
      </c>
      <c r="I37" s="487" t="s">
        <v>1097</v>
      </c>
    </row>
    <row r="38" spans="1:9">
      <c r="A38" s="36"/>
      <c r="B38" s="487" t="s">
        <v>1054</v>
      </c>
      <c r="C38" s="614" t="s">
        <v>1098</v>
      </c>
      <c r="D38" s="487" t="s">
        <v>1099</v>
      </c>
      <c r="E38" s="487" t="s">
        <v>1100</v>
      </c>
      <c r="F38" s="655">
        <v>1</v>
      </c>
      <c r="G38" s="655"/>
      <c r="H38" s="655">
        <v>1</v>
      </c>
      <c r="I38" s="487"/>
    </row>
    <row r="39" spans="1:9">
      <c r="A39" s="36"/>
      <c r="B39" s="487" t="s">
        <v>1062</v>
      </c>
      <c r="C39" s="613" t="s">
        <v>1098</v>
      </c>
      <c r="D39" s="487" t="s">
        <v>1072</v>
      </c>
      <c r="E39" s="487" t="s">
        <v>1101</v>
      </c>
      <c r="F39" s="655"/>
      <c r="G39" s="655">
        <v>8.0244961801200013E-2</v>
      </c>
      <c r="H39" s="655">
        <v>8.0244961801200013E-2</v>
      </c>
      <c r="I39" s="487" t="s">
        <v>1102</v>
      </c>
    </row>
    <row r="40" spans="1:9">
      <c r="A40" s="36"/>
      <c r="B40" s="487" t="s">
        <v>1054</v>
      </c>
      <c r="C40" s="614" t="s">
        <v>1103</v>
      </c>
      <c r="D40" s="487" t="s">
        <v>1079</v>
      </c>
      <c r="E40" s="487" t="s">
        <v>1081</v>
      </c>
      <c r="F40" s="656"/>
      <c r="G40" s="656">
        <v>0.358184</v>
      </c>
      <c r="H40" s="656">
        <v>0.358184</v>
      </c>
      <c r="I40" s="487" t="s">
        <v>1104</v>
      </c>
    </row>
    <row r="41" spans="1:9">
      <c r="A41" s="36"/>
      <c r="B41" s="488" t="s">
        <v>1054</v>
      </c>
      <c r="C41" s="615" t="s">
        <v>1103</v>
      </c>
      <c r="D41" s="488" t="s">
        <v>516</v>
      </c>
      <c r="E41" s="488" t="s">
        <v>1105</v>
      </c>
      <c r="F41" s="656">
        <v>0.6</v>
      </c>
      <c r="G41" s="656"/>
      <c r="H41" s="656">
        <v>0.6</v>
      </c>
      <c r="I41" s="487"/>
    </row>
    <row r="42" spans="1:9">
      <c r="A42" s="36"/>
      <c r="B42" s="808" t="s">
        <v>1056</v>
      </c>
      <c r="C42" s="824" t="s">
        <v>1098</v>
      </c>
      <c r="D42" s="808" t="s">
        <v>1072</v>
      </c>
      <c r="E42" s="808" t="s">
        <v>1106</v>
      </c>
      <c r="F42" s="819"/>
      <c r="G42" s="819">
        <v>0.40351811291399947</v>
      </c>
      <c r="H42" s="819">
        <v>0.40351811291399947</v>
      </c>
      <c r="I42" s="487" t="s">
        <v>1107</v>
      </c>
    </row>
    <row r="43" spans="1:9">
      <c r="A43" s="36"/>
      <c r="B43" s="810"/>
      <c r="C43" s="826"/>
      <c r="D43" s="810"/>
      <c r="E43" s="810"/>
      <c r="F43" s="820"/>
      <c r="G43" s="820"/>
      <c r="H43" s="820"/>
      <c r="I43" s="487" t="s">
        <v>1102</v>
      </c>
    </row>
    <row r="44" spans="1:9">
      <c r="A44" s="36"/>
      <c r="B44" s="487" t="s">
        <v>1062</v>
      </c>
      <c r="C44" s="614" t="s">
        <v>1103</v>
      </c>
      <c r="D44" s="487" t="s">
        <v>1108</v>
      </c>
      <c r="E44" s="487" t="s">
        <v>1109</v>
      </c>
      <c r="F44" s="655">
        <v>0.1111111</v>
      </c>
      <c r="G44" s="655"/>
      <c r="H44" s="655">
        <v>0.1111111</v>
      </c>
      <c r="I44" s="487"/>
    </row>
    <row r="45" spans="1:9">
      <c r="A45" s="36"/>
      <c r="B45" s="488" t="s">
        <v>1056</v>
      </c>
      <c r="C45" s="614" t="s">
        <v>1103</v>
      </c>
      <c r="D45" s="488" t="s">
        <v>1079</v>
      </c>
      <c r="E45" s="488" t="s">
        <v>1110</v>
      </c>
      <c r="F45" s="655"/>
      <c r="G45" s="655">
        <v>0.179092</v>
      </c>
      <c r="H45" s="655">
        <v>0.179092</v>
      </c>
      <c r="I45" s="487" t="s">
        <v>1081</v>
      </c>
    </row>
    <row r="46" spans="1:9">
      <c r="A46" s="36"/>
      <c r="B46" s="487" t="s">
        <v>1056</v>
      </c>
      <c r="C46" s="613" t="s">
        <v>1103</v>
      </c>
      <c r="D46" s="487" t="s">
        <v>1072</v>
      </c>
      <c r="E46" s="487" t="s">
        <v>1111</v>
      </c>
      <c r="F46" s="655">
        <v>1.17188E-2</v>
      </c>
      <c r="G46" s="655"/>
      <c r="H46" s="655">
        <v>1.17188E-2</v>
      </c>
      <c r="I46" s="487"/>
    </row>
    <row r="47" spans="1:9">
      <c r="A47" s="36"/>
      <c r="B47" s="487" t="s">
        <v>1056</v>
      </c>
      <c r="C47" s="613" t="s">
        <v>1103</v>
      </c>
      <c r="D47" s="487" t="s">
        <v>1112</v>
      </c>
      <c r="E47" s="488" t="s">
        <v>1113</v>
      </c>
      <c r="F47" s="655">
        <v>0.5</v>
      </c>
      <c r="G47" s="655"/>
      <c r="H47" s="655">
        <v>0.5</v>
      </c>
      <c r="I47" s="487"/>
    </row>
    <row r="48" spans="1:9">
      <c r="A48" s="36"/>
      <c r="B48" s="487" t="s">
        <v>1054</v>
      </c>
      <c r="C48" s="614" t="s">
        <v>1103</v>
      </c>
      <c r="D48" s="487" t="s">
        <v>1079</v>
      </c>
      <c r="E48" s="487" t="s">
        <v>1090</v>
      </c>
      <c r="F48" s="655"/>
      <c r="G48" s="655">
        <v>0.358184</v>
      </c>
      <c r="H48" s="655">
        <v>0.358184</v>
      </c>
      <c r="I48" s="487" t="s">
        <v>1081</v>
      </c>
    </row>
    <row r="49" spans="1:9">
      <c r="A49" s="36"/>
      <c r="B49" s="488" t="s">
        <v>1056</v>
      </c>
      <c r="C49" s="614" t="s">
        <v>1103</v>
      </c>
      <c r="D49" s="488" t="s">
        <v>1079</v>
      </c>
      <c r="E49" s="488" t="s">
        <v>1114</v>
      </c>
      <c r="F49" s="655"/>
      <c r="G49" s="655">
        <v>0.179092</v>
      </c>
      <c r="H49" s="655">
        <v>0.179092</v>
      </c>
      <c r="I49" s="487" t="s">
        <v>1081</v>
      </c>
    </row>
    <row r="50" spans="1:9">
      <c r="A50" s="36"/>
      <c r="B50" s="487" t="s">
        <v>1054</v>
      </c>
      <c r="C50" s="614" t="s">
        <v>1103</v>
      </c>
      <c r="D50" s="487" t="s">
        <v>1079</v>
      </c>
      <c r="E50" s="487" t="s">
        <v>1086</v>
      </c>
      <c r="F50" s="655"/>
      <c r="G50" s="655">
        <v>0.358184</v>
      </c>
      <c r="H50" s="655">
        <v>0.358184</v>
      </c>
      <c r="I50" s="487" t="s">
        <v>1081</v>
      </c>
    </row>
    <row r="51" spans="1:9">
      <c r="A51" s="36"/>
      <c r="B51" s="488" t="s">
        <v>1056</v>
      </c>
      <c r="C51" s="614" t="s">
        <v>1103</v>
      </c>
      <c r="D51" s="488" t="s">
        <v>1079</v>
      </c>
      <c r="E51" s="488" t="s">
        <v>1115</v>
      </c>
      <c r="F51" s="655"/>
      <c r="G51" s="655">
        <v>0.18267384</v>
      </c>
      <c r="H51" s="655">
        <v>0.18267384</v>
      </c>
      <c r="I51" s="487" t="s">
        <v>1081</v>
      </c>
    </row>
    <row r="52" spans="1:9">
      <c r="A52" s="36"/>
      <c r="B52" s="487" t="s">
        <v>1054</v>
      </c>
      <c r="C52" s="614" t="s">
        <v>1103</v>
      </c>
      <c r="D52" s="487" t="s">
        <v>1079</v>
      </c>
      <c r="E52" s="487" t="s">
        <v>1116</v>
      </c>
      <c r="F52" s="656"/>
      <c r="G52" s="656">
        <v>0.358184</v>
      </c>
      <c r="H52" s="656">
        <v>0.358184</v>
      </c>
      <c r="I52" s="487" t="s">
        <v>1081</v>
      </c>
    </row>
    <row r="53" spans="1:9">
      <c r="A53" s="36"/>
      <c r="B53" s="488" t="s">
        <v>1054</v>
      </c>
      <c r="C53" s="614" t="s">
        <v>1103</v>
      </c>
      <c r="D53" s="488" t="s">
        <v>1079</v>
      </c>
      <c r="E53" s="488" t="s">
        <v>1117</v>
      </c>
      <c r="F53" s="656"/>
      <c r="G53" s="656">
        <v>0.358184</v>
      </c>
      <c r="H53" s="656">
        <v>0.358184</v>
      </c>
      <c r="I53" s="487" t="s">
        <v>1081</v>
      </c>
    </row>
    <row r="54" spans="1:9">
      <c r="A54" s="36"/>
      <c r="B54" s="487" t="s">
        <v>1054</v>
      </c>
      <c r="C54" s="614" t="s">
        <v>1103</v>
      </c>
      <c r="D54" s="487" t="s">
        <v>1079</v>
      </c>
      <c r="E54" s="487" t="s">
        <v>1118</v>
      </c>
      <c r="F54" s="656"/>
      <c r="G54" s="656">
        <v>0.358184</v>
      </c>
      <c r="H54" s="656">
        <v>0.358184</v>
      </c>
      <c r="I54" s="487" t="s">
        <v>1081</v>
      </c>
    </row>
    <row r="55" spans="1:9">
      <c r="A55" s="36"/>
      <c r="B55" s="488" t="s">
        <v>1054</v>
      </c>
      <c r="C55" s="614" t="s">
        <v>1103</v>
      </c>
      <c r="D55" s="488" t="s">
        <v>1079</v>
      </c>
      <c r="E55" s="488" t="s">
        <v>1087</v>
      </c>
      <c r="F55" s="656"/>
      <c r="G55" s="656">
        <v>0.358184</v>
      </c>
      <c r="H55" s="656">
        <v>0.358184</v>
      </c>
      <c r="I55" s="487" t="s">
        <v>1081</v>
      </c>
    </row>
    <row r="56" spans="1:9">
      <c r="A56" s="36"/>
      <c r="B56" s="488" t="s">
        <v>1056</v>
      </c>
      <c r="C56" s="614" t="s">
        <v>1103</v>
      </c>
      <c r="D56" s="488" t="s">
        <v>1079</v>
      </c>
      <c r="E56" s="488" t="s">
        <v>1119</v>
      </c>
      <c r="F56" s="656"/>
      <c r="G56" s="656">
        <v>0.358184</v>
      </c>
      <c r="H56" s="656">
        <v>0.358184</v>
      </c>
      <c r="I56" s="487" t="s">
        <v>1081</v>
      </c>
    </row>
    <row r="57" spans="1:9">
      <c r="A57" s="36"/>
      <c r="B57" s="488" t="s">
        <v>1054</v>
      </c>
      <c r="C57" s="614" t="s">
        <v>1103</v>
      </c>
      <c r="D57" s="488" t="s">
        <v>1079</v>
      </c>
      <c r="E57" s="488" t="s">
        <v>1091</v>
      </c>
      <c r="F57" s="655"/>
      <c r="G57" s="655">
        <v>0.358184</v>
      </c>
      <c r="H57" s="655">
        <v>0.358184</v>
      </c>
      <c r="I57" s="487" t="s">
        <v>1081</v>
      </c>
    </row>
    <row r="58" spans="1:9">
      <c r="A58" s="36"/>
      <c r="B58" s="488" t="s">
        <v>1054</v>
      </c>
      <c r="C58" s="614" t="s">
        <v>1103</v>
      </c>
      <c r="D58" s="488" t="s">
        <v>1079</v>
      </c>
      <c r="E58" s="488" t="s">
        <v>1092</v>
      </c>
      <c r="F58" s="656"/>
      <c r="G58" s="656">
        <v>0.358184</v>
      </c>
      <c r="H58" s="656">
        <v>0.358184</v>
      </c>
      <c r="I58" s="487" t="s">
        <v>1081</v>
      </c>
    </row>
    <row r="59" spans="1:9">
      <c r="A59" s="36"/>
      <c r="B59" s="488" t="s">
        <v>1056</v>
      </c>
      <c r="C59" s="614" t="s">
        <v>1103</v>
      </c>
      <c r="D59" s="488" t="s">
        <v>1079</v>
      </c>
      <c r="E59" s="488" t="s">
        <v>1120</v>
      </c>
      <c r="F59" s="655"/>
      <c r="G59" s="655">
        <v>0.18267384</v>
      </c>
      <c r="H59" s="655">
        <v>0.18267384</v>
      </c>
      <c r="I59" s="487" t="s">
        <v>1081</v>
      </c>
    </row>
    <row r="60" spans="1:9">
      <c r="A60" s="36"/>
      <c r="B60" s="487" t="s">
        <v>1054</v>
      </c>
      <c r="C60" s="614" t="s">
        <v>1103</v>
      </c>
      <c r="D60" s="487" t="s">
        <v>1079</v>
      </c>
      <c r="E60" s="487" t="s">
        <v>1088</v>
      </c>
      <c r="F60" s="655"/>
      <c r="G60" s="655">
        <v>0.358184</v>
      </c>
      <c r="H60" s="655">
        <v>0.358184</v>
      </c>
      <c r="I60" s="487" t="s">
        <v>1081</v>
      </c>
    </row>
    <row r="61" spans="1:9">
      <c r="A61" s="36"/>
      <c r="B61" s="488" t="s">
        <v>1054</v>
      </c>
      <c r="C61" s="614" t="s">
        <v>1103</v>
      </c>
      <c r="D61" s="488" t="s">
        <v>1079</v>
      </c>
      <c r="E61" s="488" t="s">
        <v>1093</v>
      </c>
      <c r="F61" s="656"/>
      <c r="G61" s="656">
        <v>0.358184</v>
      </c>
      <c r="H61" s="656">
        <v>0.358184</v>
      </c>
      <c r="I61" s="487" t="s">
        <v>1081</v>
      </c>
    </row>
    <row r="62" spans="1:9">
      <c r="A62" s="36"/>
      <c r="B62" s="487" t="s">
        <v>1054</v>
      </c>
      <c r="C62" s="614" t="s">
        <v>1103</v>
      </c>
      <c r="D62" s="487" t="s">
        <v>1079</v>
      </c>
      <c r="E62" s="487" t="s">
        <v>1121</v>
      </c>
      <c r="F62" s="656"/>
      <c r="G62" s="656">
        <v>0.179092</v>
      </c>
      <c r="H62" s="656">
        <v>0.179092</v>
      </c>
      <c r="I62" s="487" t="s">
        <v>1081</v>
      </c>
    </row>
    <row r="63" spans="1:9">
      <c r="A63" s="36"/>
      <c r="B63" s="488" t="s">
        <v>1054</v>
      </c>
      <c r="C63" s="614" t="s">
        <v>1103</v>
      </c>
      <c r="D63" s="488" t="s">
        <v>1079</v>
      </c>
      <c r="E63" s="488" t="s">
        <v>1122</v>
      </c>
      <c r="F63" s="656"/>
      <c r="G63" s="656">
        <v>0.358184</v>
      </c>
      <c r="H63" s="656">
        <v>0.358184</v>
      </c>
      <c r="I63" s="487" t="s">
        <v>1081</v>
      </c>
    </row>
    <row r="64" spans="1:9">
      <c r="A64" s="36"/>
      <c r="B64" s="488" t="s">
        <v>1054</v>
      </c>
      <c r="C64" s="614" t="s">
        <v>1103</v>
      </c>
      <c r="D64" s="488" t="s">
        <v>1079</v>
      </c>
      <c r="E64" s="488" t="s">
        <v>1094</v>
      </c>
      <c r="F64" s="656"/>
      <c r="G64" s="656">
        <v>0.358184</v>
      </c>
      <c r="H64" s="656">
        <v>0.358184</v>
      </c>
      <c r="I64" s="487" t="s">
        <v>1081</v>
      </c>
    </row>
    <row r="65" spans="1:9">
      <c r="A65" s="36"/>
      <c r="B65" s="488" t="s">
        <v>1054</v>
      </c>
      <c r="C65" s="614" t="s">
        <v>1103</v>
      </c>
      <c r="D65" s="488" t="s">
        <v>1079</v>
      </c>
      <c r="E65" s="488" t="s">
        <v>1162</v>
      </c>
      <c r="F65" s="656"/>
      <c r="G65" s="656">
        <v>0.358184</v>
      </c>
      <c r="H65" s="656">
        <v>0.358184</v>
      </c>
      <c r="I65" s="487" t="s">
        <v>1081</v>
      </c>
    </row>
    <row r="66" spans="1:9">
      <c r="A66" s="36"/>
      <c r="B66" s="488" t="s">
        <v>1054</v>
      </c>
      <c r="C66" s="614" t="s">
        <v>1103</v>
      </c>
      <c r="D66" s="488" t="s">
        <v>1079</v>
      </c>
      <c r="E66" s="488" t="s">
        <v>1163</v>
      </c>
      <c r="F66" s="656"/>
      <c r="G66" s="656">
        <v>0.358184</v>
      </c>
      <c r="H66" s="656">
        <v>0.358184</v>
      </c>
      <c r="I66" s="487" t="s">
        <v>1081</v>
      </c>
    </row>
    <row r="67" spans="1:9">
      <c r="A67" s="36"/>
      <c r="B67" s="488" t="s">
        <v>1054</v>
      </c>
      <c r="C67" s="614" t="s">
        <v>1103</v>
      </c>
      <c r="D67" s="488" t="s">
        <v>1079</v>
      </c>
      <c r="E67" s="488" t="s">
        <v>1164</v>
      </c>
      <c r="F67" s="656"/>
      <c r="G67" s="656">
        <v>0.358184</v>
      </c>
      <c r="H67" s="656">
        <v>0.358184</v>
      </c>
      <c r="I67" s="487" t="s">
        <v>1081</v>
      </c>
    </row>
    <row r="68" spans="1:9">
      <c r="A68" s="36"/>
      <c r="B68" s="488" t="s">
        <v>1054</v>
      </c>
      <c r="C68" s="616" t="s">
        <v>1123</v>
      </c>
      <c r="D68" s="488" t="s">
        <v>1074</v>
      </c>
      <c r="E68" s="488" t="s">
        <v>1181</v>
      </c>
      <c r="F68" s="656">
        <v>0.99999850000000001</v>
      </c>
      <c r="G68" s="656">
        <v>1.4924390999960101E-6</v>
      </c>
      <c r="H68" s="656">
        <v>0.99999999243909998</v>
      </c>
      <c r="I68" s="487" t="s">
        <v>1182</v>
      </c>
    </row>
    <row r="69" spans="1:9">
      <c r="A69" s="36"/>
      <c r="B69" s="817" t="s">
        <v>1054</v>
      </c>
      <c r="C69" s="811" t="s">
        <v>1123</v>
      </c>
      <c r="D69" s="817" t="s">
        <v>1074</v>
      </c>
      <c r="E69" s="817" t="s">
        <v>1097</v>
      </c>
      <c r="F69" s="814"/>
      <c r="G69" s="814">
        <v>0.99999948837986319</v>
      </c>
      <c r="H69" s="814">
        <v>0.99999948837986319</v>
      </c>
      <c r="I69" s="487" t="s">
        <v>1076</v>
      </c>
    </row>
    <row r="70" spans="1:9">
      <c r="A70" s="36"/>
      <c r="B70" s="818"/>
      <c r="C70" s="813"/>
      <c r="D70" s="818"/>
      <c r="E70" s="818"/>
      <c r="F70" s="816"/>
      <c r="G70" s="816"/>
      <c r="H70" s="816"/>
      <c r="I70" s="487" t="s">
        <v>1077</v>
      </c>
    </row>
    <row r="71" spans="1:9">
      <c r="A71" s="36"/>
      <c r="B71" s="817" t="s">
        <v>1054</v>
      </c>
      <c r="C71" s="811" t="s">
        <v>1123</v>
      </c>
      <c r="D71" s="817" t="s">
        <v>1074</v>
      </c>
      <c r="E71" s="817" t="s">
        <v>1076</v>
      </c>
      <c r="F71" s="819"/>
      <c r="G71" s="819">
        <v>0.99999948837985597</v>
      </c>
      <c r="H71" s="819">
        <v>0.99999948837985597</v>
      </c>
      <c r="I71" s="487" t="s">
        <v>1165</v>
      </c>
    </row>
    <row r="72" spans="1:9">
      <c r="A72" s="36"/>
      <c r="B72" s="818"/>
      <c r="C72" s="813"/>
      <c r="D72" s="818"/>
      <c r="E72" s="818"/>
      <c r="F72" s="820"/>
      <c r="G72" s="820"/>
      <c r="H72" s="820"/>
      <c r="I72" s="487" t="s">
        <v>1107</v>
      </c>
    </row>
    <row r="73" spans="1:9">
      <c r="A73" s="36"/>
      <c r="B73" s="488" t="s">
        <v>1054</v>
      </c>
      <c r="C73" s="616" t="s">
        <v>1071</v>
      </c>
      <c r="D73" s="488" t="s">
        <v>1074</v>
      </c>
      <c r="E73" s="488" t="s">
        <v>1125</v>
      </c>
      <c r="F73" s="656"/>
      <c r="G73" s="656">
        <v>0.6499996674469064</v>
      </c>
      <c r="H73" s="656">
        <v>0.6499996674469064</v>
      </c>
      <c r="I73" s="487" t="s">
        <v>1076</v>
      </c>
    </row>
    <row r="74" spans="1:9">
      <c r="A74" s="36"/>
      <c r="B74" s="817" t="s">
        <v>1054</v>
      </c>
      <c r="C74" s="821" t="s">
        <v>1103</v>
      </c>
      <c r="D74" s="817" t="s">
        <v>1126</v>
      </c>
      <c r="E74" s="817" t="s">
        <v>1127</v>
      </c>
      <c r="F74" s="814">
        <v>0.50999859999999997</v>
      </c>
      <c r="G74" s="814">
        <v>0.48999437371588977</v>
      </c>
      <c r="H74" s="814">
        <v>0.99999297371588969</v>
      </c>
      <c r="I74" s="487" t="s">
        <v>1107</v>
      </c>
    </row>
    <row r="75" spans="1:9">
      <c r="A75" s="36"/>
      <c r="B75" s="818"/>
      <c r="C75" s="822"/>
      <c r="D75" s="818"/>
      <c r="E75" s="818"/>
      <c r="F75" s="816"/>
      <c r="G75" s="816"/>
      <c r="H75" s="816"/>
      <c r="I75" s="487" t="s">
        <v>1128</v>
      </c>
    </row>
    <row r="76" spans="1:9">
      <c r="A76" s="36"/>
      <c r="B76" s="488" t="s">
        <v>1054</v>
      </c>
      <c r="C76" s="614" t="s">
        <v>1123</v>
      </c>
      <c r="D76" s="488" t="s">
        <v>1079</v>
      </c>
      <c r="E76" s="488" t="s">
        <v>1129</v>
      </c>
      <c r="F76" s="656">
        <v>0.99899380000000004</v>
      </c>
      <c r="G76" s="656">
        <v>1.0062000000000001E-3</v>
      </c>
      <c r="H76" s="656">
        <v>1</v>
      </c>
      <c r="I76" s="487" t="s">
        <v>1104</v>
      </c>
    </row>
    <row r="77" spans="1:9">
      <c r="A77" s="36"/>
      <c r="B77" s="487" t="s">
        <v>1054</v>
      </c>
      <c r="C77" s="614" t="s">
        <v>1123</v>
      </c>
      <c r="D77" s="487" t="s">
        <v>1079</v>
      </c>
      <c r="E77" s="487" t="s">
        <v>1104</v>
      </c>
      <c r="F77" s="656">
        <v>1</v>
      </c>
      <c r="G77" s="656"/>
      <c r="H77" s="656">
        <v>1</v>
      </c>
      <c r="I77" s="487"/>
    </row>
    <row r="78" spans="1:9">
      <c r="A78" s="36"/>
      <c r="B78" s="488" t="s">
        <v>1054</v>
      </c>
      <c r="C78" s="615" t="s">
        <v>1103</v>
      </c>
      <c r="D78" s="488" t="s">
        <v>516</v>
      </c>
      <c r="E78" s="488" t="s">
        <v>1130</v>
      </c>
      <c r="F78" s="656">
        <v>0.45136860000000001</v>
      </c>
      <c r="G78" s="656">
        <v>0.54841210602197998</v>
      </c>
      <c r="H78" s="656">
        <v>0.99978070602197999</v>
      </c>
      <c r="I78" s="487" t="s">
        <v>1128</v>
      </c>
    </row>
    <row r="79" spans="1:9">
      <c r="A79" s="36"/>
      <c r="B79" s="487" t="s">
        <v>1054</v>
      </c>
      <c r="C79" s="616" t="s">
        <v>1123</v>
      </c>
      <c r="D79" s="487" t="s">
        <v>1074</v>
      </c>
      <c r="E79" s="487" t="s">
        <v>1165</v>
      </c>
      <c r="F79" s="656">
        <v>0.99999850000000001</v>
      </c>
      <c r="G79" s="656">
        <v>1.4924390999960101E-6</v>
      </c>
      <c r="H79" s="656">
        <v>0.99999999243909998</v>
      </c>
      <c r="I79" s="487" t="s">
        <v>1107</v>
      </c>
    </row>
    <row r="80" spans="1:9">
      <c r="A80" s="36"/>
      <c r="B80" s="487" t="s">
        <v>1054</v>
      </c>
      <c r="C80" s="616" t="s">
        <v>1103</v>
      </c>
      <c r="D80" s="487" t="s">
        <v>1074</v>
      </c>
      <c r="E80" s="487" t="s">
        <v>1131</v>
      </c>
      <c r="F80" s="656">
        <v>1E-3</v>
      </c>
      <c r="G80" s="656">
        <v>0.99899999244666082</v>
      </c>
      <c r="H80" s="656">
        <v>0.99999999244666082</v>
      </c>
      <c r="I80" s="487" t="s">
        <v>1183</v>
      </c>
    </row>
    <row r="81" spans="1:9">
      <c r="A81" s="36"/>
      <c r="B81" s="817" t="s">
        <v>1054</v>
      </c>
      <c r="C81" s="824" t="s">
        <v>1103</v>
      </c>
      <c r="D81" s="817" t="s">
        <v>1072</v>
      </c>
      <c r="E81" s="817" t="s">
        <v>1132</v>
      </c>
      <c r="F81" s="814">
        <v>0.9999728</v>
      </c>
      <c r="G81" s="814">
        <v>2.7164232693799375E-5</v>
      </c>
      <c r="H81" s="814">
        <v>0.99999996423269377</v>
      </c>
      <c r="I81" s="487" t="s">
        <v>1073</v>
      </c>
    </row>
    <row r="82" spans="1:9">
      <c r="A82" s="36"/>
      <c r="B82" s="823"/>
      <c r="C82" s="825"/>
      <c r="D82" s="823"/>
      <c r="E82" s="823"/>
      <c r="F82" s="815"/>
      <c r="G82" s="815"/>
      <c r="H82" s="815"/>
      <c r="I82" s="487" t="s">
        <v>1130</v>
      </c>
    </row>
    <row r="83" spans="1:9">
      <c r="A83" s="36"/>
      <c r="B83" s="823"/>
      <c r="C83" s="825"/>
      <c r="D83" s="823"/>
      <c r="E83" s="823"/>
      <c r="F83" s="815"/>
      <c r="G83" s="815"/>
      <c r="H83" s="815"/>
      <c r="I83" s="487" t="s">
        <v>1133</v>
      </c>
    </row>
    <row r="84" spans="1:9">
      <c r="A84" s="36"/>
      <c r="B84" s="818"/>
      <c r="C84" s="826"/>
      <c r="D84" s="818"/>
      <c r="E84" s="818"/>
      <c r="F84" s="816"/>
      <c r="G84" s="816"/>
      <c r="H84" s="816"/>
      <c r="I84" s="487" t="s">
        <v>1107</v>
      </c>
    </row>
    <row r="85" spans="1:9">
      <c r="A85" s="36"/>
      <c r="B85" s="808" t="s">
        <v>1054</v>
      </c>
      <c r="C85" s="811" t="s">
        <v>1082</v>
      </c>
      <c r="D85" s="808" t="s">
        <v>1134</v>
      </c>
      <c r="E85" s="808" t="s">
        <v>1135</v>
      </c>
      <c r="F85" s="814"/>
      <c r="G85" s="814">
        <v>0.99495939910187658</v>
      </c>
      <c r="H85" s="814">
        <v>0.99495939910187658</v>
      </c>
      <c r="I85" s="487" t="s">
        <v>1107</v>
      </c>
    </row>
    <row r="86" spans="1:9">
      <c r="A86" s="36"/>
      <c r="B86" s="810"/>
      <c r="C86" s="813"/>
      <c r="D86" s="810"/>
      <c r="E86" s="810"/>
      <c r="F86" s="816"/>
      <c r="G86" s="816"/>
      <c r="H86" s="816"/>
      <c r="I86" s="487" t="s">
        <v>1136</v>
      </c>
    </row>
    <row r="87" spans="1:9">
      <c r="A87" s="36"/>
      <c r="B87" s="488" t="s">
        <v>1056</v>
      </c>
      <c r="C87" s="616" t="s">
        <v>1103</v>
      </c>
      <c r="D87" s="488" t="s">
        <v>1074</v>
      </c>
      <c r="E87" s="488" t="s">
        <v>1137</v>
      </c>
      <c r="F87" s="656"/>
      <c r="G87" s="656">
        <v>0.33333329747970025</v>
      </c>
      <c r="H87" s="656">
        <v>0.33333329747970025</v>
      </c>
      <c r="I87" s="487" t="s">
        <v>1183</v>
      </c>
    </row>
    <row r="88" spans="1:9">
      <c r="A88" s="36"/>
      <c r="B88" s="808" t="s">
        <v>1054</v>
      </c>
      <c r="C88" s="811" t="s">
        <v>1071</v>
      </c>
      <c r="D88" s="808" t="s">
        <v>1074</v>
      </c>
      <c r="E88" s="808" t="s">
        <v>1138</v>
      </c>
      <c r="F88" s="814"/>
      <c r="G88" s="814">
        <v>0.99999948837985608</v>
      </c>
      <c r="H88" s="814">
        <v>0.99999948837985608</v>
      </c>
      <c r="I88" s="487" t="s">
        <v>1076</v>
      </c>
    </row>
    <row r="89" spans="1:9">
      <c r="A89" s="36"/>
      <c r="B89" s="810"/>
      <c r="C89" s="813"/>
      <c r="D89" s="810"/>
      <c r="E89" s="810"/>
      <c r="F89" s="816"/>
      <c r="G89" s="816"/>
      <c r="H89" s="816"/>
      <c r="I89" s="487" t="s">
        <v>1077</v>
      </c>
    </row>
    <row r="90" spans="1:9">
      <c r="A90" s="36"/>
      <c r="B90" s="808" t="s">
        <v>1054</v>
      </c>
      <c r="C90" s="811" t="s">
        <v>1071</v>
      </c>
      <c r="D90" s="808" t="s">
        <v>1074</v>
      </c>
      <c r="E90" s="808" t="s">
        <v>1139</v>
      </c>
      <c r="F90" s="814"/>
      <c r="G90" s="814">
        <v>0.9999994883798593</v>
      </c>
      <c r="H90" s="814">
        <v>0.9999994883798593</v>
      </c>
      <c r="I90" s="487" t="s">
        <v>1076</v>
      </c>
    </row>
    <row r="91" spans="1:9">
      <c r="A91" s="36"/>
      <c r="B91" s="810"/>
      <c r="C91" s="813"/>
      <c r="D91" s="810"/>
      <c r="E91" s="810"/>
      <c r="F91" s="816"/>
      <c r="G91" s="816"/>
      <c r="H91" s="816"/>
      <c r="I91" s="487" t="s">
        <v>1077</v>
      </c>
    </row>
    <row r="92" spans="1:9">
      <c r="A92" s="36"/>
      <c r="B92" s="488" t="s">
        <v>1054</v>
      </c>
      <c r="C92" s="615" t="s">
        <v>1103</v>
      </c>
      <c r="D92" s="488" t="s">
        <v>516</v>
      </c>
      <c r="E92" s="488" t="s">
        <v>1133</v>
      </c>
      <c r="F92" s="656">
        <v>0.99970000000000003</v>
      </c>
      <c r="G92" s="656">
        <v>2.9999600999999998E-4</v>
      </c>
      <c r="H92" s="656">
        <v>0.99999999601</v>
      </c>
      <c r="I92" s="487" t="s">
        <v>1128</v>
      </c>
    </row>
    <row r="93" spans="1:9">
      <c r="A93" s="36"/>
      <c r="B93" s="488" t="s">
        <v>1056</v>
      </c>
      <c r="C93" s="613" t="s">
        <v>1071</v>
      </c>
      <c r="D93" s="488" t="s">
        <v>1072</v>
      </c>
      <c r="E93" s="488" t="s">
        <v>1140</v>
      </c>
      <c r="F93" s="656"/>
      <c r="G93" s="656">
        <v>0.33</v>
      </c>
      <c r="H93" s="656">
        <v>0.33</v>
      </c>
      <c r="I93" s="487" t="s">
        <v>1073</v>
      </c>
    </row>
    <row r="94" spans="1:9">
      <c r="A94" s="36"/>
      <c r="B94" s="488" t="s">
        <v>1062</v>
      </c>
      <c r="C94" s="615" t="s">
        <v>1082</v>
      </c>
      <c r="D94" s="488" t="s">
        <v>1108</v>
      </c>
      <c r="E94" s="488" t="s">
        <v>1141</v>
      </c>
      <c r="F94" s="656"/>
      <c r="G94" s="656">
        <v>0.11053998933970449</v>
      </c>
      <c r="H94" s="656">
        <v>0.11053998933970449</v>
      </c>
      <c r="I94" s="487" t="s">
        <v>1107</v>
      </c>
    </row>
    <row r="95" spans="1:9">
      <c r="A95" s="36"/>
      <c r="B95" s="488" t="s">
        <v>1054</v>
      </c>
      <c r="C95" s="615" t="s">
        <v>1103</v>
      </c>
      <c r="D95" s="488" t="s">
        <v>516</v>
      </c>
      <c r="E95" s="488" t="s">
        <v>1142</v>
      </c>
      <c r="F95" s="656">
        <v>0.3</v>
      </c>
      <c r="G95" s="656">
        <v>0.29999600999999998</v>
      </c>
      <c r="H95" s="656">
        <v>0.59999600999999991</v>
      </c>
      <c r="I95" s="487" t="s">
        <v>1128</v>
      </c>
    </row>
    <row r="96" spans="1:9">
      <c r="A96" s="36"/>
      <c r="B96" s="488" t="s">
        <v>1054</v>
      </c>
      <c r="C96" s="616" t="s">
        <v>1071</v>
      </c>
      <c r="D96" s="488" t="s">
        <v>1074</v>
      </c>
      <c r="E96" s="488" t="s">
        <v>1143</v>
      </c>
      <c r="F96" s="656"/>
      <c r="G96" s="656">
        <v>0.74999921628509647</v>
      </c>
      <c r="H96" s="656">
        <v>0.74999921628509647</v>
      </c>
      <c r="I96" s="487" t="s">
        <v>1076</v>
      </c>
    </row>
    <row r="97" spans="1:9">
      <c r="A97" s="36"/>
      <c r="B97" s="817" t="s">
        <v>1054</v>
      </c>
      <c r="C97" s="811" t="s">
        <v>1071</v>
      </c>
      <c r="D97" s="817" t="s">
        <v>1074</v>
      </c>
      <c r="E97" s="817" t="s">
        <v>1144</v>
      </c>
      <c r="F97" s="814"/>
      <c r="G97" s="814">
        <v>0.99999948837985608</v>
      </c>
      <c r="H97" s="814">
        <v>0.99999948837985608</v>
      </c>
      <c r="I97" s="487" t="s">
        <v>1076</v>
      </c>
    </row>
    <row r="98" spans="1:9">
      <c r="A98" s="36"/>
      <c r="B98" s="818"/>
      <c r="C98" s="813"/>
      <c r="D98" s="818"/>
      <c r="E98" s="818"/>
      <c r="F98" s="816"/>
      <c r="G98" s="816"/>
      <c r="H98" s="816"/>
      <c r="I98" s="487" t="s">
        <v>1077</v>
      </c>
    </row>
    <row r="99" spans="1:9">
      <c r="A99" s="36"/>
      <c r="B99" s="488" t="s">
        <v>1054</v>
      </c>
      <c r="C99" s="613" t="s">
        <v>1103</v>
      </c>
      <c r="D99" s="488" t="s">
        <v>1072</v>
      </c>
      <c r="E99" s="488" t="s">
        <v>1145</v>
      </c>
      <c r="F99" s="656">
        <v>0.15</v>
      </c>
      <c r="G99" s="656">
        <v>0.84770721000000004</v>
      </c>
      <c r="H99" s="656">
        <v>0.99770721000000007</v>
      </c>
      <c r="I99" s="487" t="s">
        <v>1102</v>
      </c>
    </row>
    <row r="100" spans="1:9">
      <c r="A100" s="36"/>
      <c r="B100" s="488" t="s">
        <v>1056</v>
      </c>
      <c r="C100" s="614" t="s">
        <v>1103</v>
      </c>
      <c r="D100" s="488" t="s">
        <v>1079</v>
      </c>
      <c r="E100" s="488" t="s">
        <v>1146</v>
      </c>
      <c r="F100" s="656"/>
      <c r="G100" s="656">
        <v>0.1487918</v>
      </c>
      <c r="H100" s="656">
        <v>0.1487918</v>
      </c>
      <c r="I100" s="487" t="s">
        <v>1129</v>
      </c>
    </row>
    <row r="101" spans="1:9">
      <c r="A101" s="36"/>
      <c r="B101" s="817" t="s">
        <v>1054</v>
      </c>
      <c r="C101" s="811" t="s">
        <v>1082</v>
      </c>
      <c r="D101" s="817" t="s">
        <v>1079</v>
      </c>
      <c r="E101" s="817" t="s">
        <v>1147</v>
      </c>
      <c r="F101" s="814"/>
      <c r="G101" s="814">
        <v>0.99495938670289297</v>
      </c>
      <c r="H101" s="814">
        <v>0.99495938670289297</v>
      </c>
      <c r="I101" s="487" t="s">
        <v>1148</v>
      </c>
    </row>
    <row r="102" spans="1:9">
      <c r="A102" s="36"/>
      <c r="B102" s="818"/>
      <c r="C102" s="813"/>
      <c r="D102" s="818"/>
      <c r="E102" s="818"/>
      <c r="F102" s="816"/>
      <c r="G102" s="816"/>
      <c r="H102" s="816"/>
      <c r="I102" s="487" t="s">
        <v>1136</v>
      </c>
    </row>
    <row r="103" spans="1:9">
      <c r="A103" s="36"/>
      <c r="B103" s="488" t="s">
        <v>1054</v>
      </c>
      <c r="C103" s="616" t="s">
        <v>1082</v>
      </c>
      <c r="D103" s="488" t="s">
        <v>1074</v>
      </c>
      <c r="E103" s="488" t="s">
        <v>1149</v>
      </c>
      <c r="F103" s="656"/>
      <c r="G103" s="656">
        <v>0.98500980599736665</v>
      </c>
      <c r="H103" s="656">
        <v>0.98500980599736665</v>
      </c>
      <c r="I103" s="487" t="s">
        <v>1107</v>
      </c>
    </row>
    <row r="104" spans="1:9">
      <c r="A104" s="36"/>
      <c r="B104" s="488" t="s">
        <v>1054</v>
      </c>
      <c r="C104" s="613" t="s">
        <v>1082</v>
      </c>
      <c r="D104" s="488" t="s">
        <v>1072</v>
      </c>
      <c r="E104" s="488" t="s">
        <v>1107</v>
      </c>
      <c r="F104" s="656">
        <v>0.99495920000000004</v>
      </c>
      <c r="G104" s="656">
        <v>1.9999734E-7</v>
      </c>
      <c r="H104" s="656">
        <v>0.99495939999734007</v>
      </c>
      <c r="I104" s="487" t="s">
        <v>1128</v>
      </c>
    </row>
    <row r="105" spans="1:9">
      <c r="A105" s="36"/>
      <c r="B105" s="817" t="s">
        <v>1054</v>
      </c>
      <c r="C105" s="811" t="s">
        <v>1082</v>
      </c>
      <c r="D105" s="817" t="s">
        <v>1079</v>
      </c>
      <c r="E105" s="817" t="s">
        <v>1148</v>
      </c>
      <c r="F105" s="814"/>
      <c r="G105" s="814">
        <v>0.99495939999733018</v>
      </c>
      <c r="H105" s="814">
        <v>0.99495939999733018</v>
      </c>
      <c r="I105" s="487" t="s">
        <v>1107</v>
      </c>
    </row>
    <row r="106" spans="1:9">
      <c r="A106" s="36"/>
      <c r="B106" s="818"/>
      <c r="C106" s="813"/>
      <c r="D106" s="818"/>
      <c r="E106" s="818"/>
      <c r="F106" s="816"/>
      <c r="G106" s="816"/>
      <c r="H106" s="816"/>
      <c r="I106" s="487" t="s">
        <v>1136</v>
      </c>
    </row>
    <row r="107" spans="1:9">
      <c r="A107" s="36"/>
      <c r="B107" s="487" t="s">
        <v>1054</v>
      </c>
      <c r="C107" s="615" t="s">
        <v>1082</v>
      </c>
      <c r="D107" s="488" t="s">
        <v>516</v>
      </c>
      <c r="E107" s="487" t="s">
        <v>1136</v>
      </c>
      <c r="F107" s="656"/>
      <c r="G107" s="656">
        <v>0.99495930050140013</v>
      </c>
      <c r="H107" s="656">
        <v>0.99495930050140013</v>
      </c>
      <c r="I107" s="487" t="s">
        <v>1107</v>
      </c>
    </row>
    <row r="108" spans="1:9">
      <c r="A108" s="36"/>
      <c r="B108" s="808" t="s">
        <v>1056</v>
      </c>
      <c r="C108" s="811" t="s">
        <v>1082</v>
      </c>
      <c r="D108" s="808" t="s">
        <v>1150</v>
      </c>
      <c r="E108" s="808" t="s">
        <v>1151</v>
      </c>
      <c r="F108" s="814"/>
      <c r="G108" s="814">
        <v>0.49747965522549703</v>
      </c>
      <c r="H108" s="814">
        <v>0.49747965522549703</v>
      </c>
      <c r="I108" s="487" t="s">
        <v>1107</v>
      </c>
    </row>
    <row r="109" spans="1:9">
      <c r="A109" s="36"/>
      <c r="B109" s="810"/>
      <c r="C109" s="813"/>
      <c r="D109" s="810"/>
      <c r="E109" s="810"/>
      <c r="F109" s="816"/>
      <c r="G109" s="816"/>
      <c r="H109" s="816"/>
      <c r="I109" s="487" t="s">
        <v>1136</v>
      </c>
    </row>
    <row r="110" spans="1:9">
      <c r="A110" s="36"/>
      <c r="B110" s="808" t="s">
        <v>1054</v>
      </c>
      <c r="C110" s="811" t="s">
        <v>1123</v>
      </c>
      <c r="D110" s="808" t="s">
        <v>1074</v>
      </c>
      <c r="E110" s="808" t="s">
        <v>1077</v>
      </c>
      <c r="F110" s="814"/>
      <c r="G110" s="814">
        <v>0.99999948888391499</v>
      </c>
      <c r="H110" s="814">
        <v>0.99999948888391499</v>
      </c>
      <c r="I110" s="487" t="s">
        <v>1124</v>
      </c>
    </row>
    <row r="111" spans="1:9">
      <c r="A111" s="36"/>
      <c r="B111" s="810"/>
      <c r="C111" s="813"/>
      <c r="D111" s="810"/>
      <c r="E111" s="810"/>
      <c r="F111" s="816"/>
      <c r="G111" s="816"/>
      <c r="H111" s="816"/>
      <c r="I111" s="487" t="s">
        <v>1076</v>
      </c>
    </row>
    <row r="112" spans="1:9">
      <c r="A112" s="36"/>
      <c r="B112" s="487" t="s">
        <v>1054</v>
      </c>
      <c r="C112" s="613" t="s">
        <v>1103</v>
      </c>
      <c r="D112" s="487" t="s">
        <v>1072</v>
      </c>
      <c r="E112" s="487" t="s">
        <v>1128</v>
      </c>
      <c r="F112" s="656">
        <v>0.99998670000000001</v>
      </c>
      <c r="G112" s="656"/>
      <c r="H112" s="656">
        <v>0.99998670000000001</v>
      </c>
      <c r="I112" s="487"/>
    </row>
    <row r="113" spans="1:9">
      <c r="A113" s="36"/>
      <c r="B113" s="808" t="s">
        <v>1060</v>
      </c>
      <c r="C113" s="811" t="s">
        <v>1078</v>
      </c>
      <c r="D113" s="808" t="s">
        <v>1079</v>
      </c>
      <c r="E113" s="808" t="s">
        <v>1152</v>
      </c>
      <c r="F113" s="814"/>
      <c r="G113" s="814">
        <v>0.14197267571199995</v>
      </c>
      <c r="H113" s="814">
        <v>0.14197267571199995</v>
      </c>
      <c r="I113" s="487" t="s">
        <v>1170</v>
      </c>
    </row>
    <row r="114" spans="1:9">
      <c r="A114" s="36"/>
      <c r="B114" s="809"/>
      <c r="C114" s="812"/>
      <c r="D114" s="809"/>
      <c r="E114" s="809"/>
      <c r="F114" s="815"/>
      <c r="G114" s="815"/>
      <c r="H114" s="815"/>
      <c r="I114" s="487" t="s">
        <v>1174</v>
      </c>
    </row>
    <row r="115" spans="1:9">
      <c r="A115" s="36"/>
      <c r="B115" s="809"/>
      <c r="C115" s="812"/>
      <c r="D115" s="809"/>
      <c r="E115" s="809"/>
      <c r="F115" s="815"/>
      <c r="G115" s="815"/>
      <c r="H115" s="815"/>
      <c r="I115" s="487" t="s">
        <v>1171</v>
      </c>
    </row>
    <row r="116" spans="1:9">
      <c r="A116" s="36"/>
      <c r="B116" s="809"/>
      <c r="C116" s="812"/>
      <c r="D116" s="809"/>
      <c r="E116" s="809"/>
      <c r="F116" s="815"/>
      <c r="G116" s="815"/>
      <c r="H116" s="815"/>
      <c r="I116" s="487" t="s">
        <v>1184</v>
      </c>
    </row>
    <row r="117" spans="1:9">
      <c r="A117" s="36"/>
      <c r="B117" s="809"/>
      <c r="C117" s="812"/>
      <c r="D117" s="809"/>
      <c r="E117" s="809"/>
      <c r="F117" s="815"/>
      <c r="G117" s="815"/>
      <c r="H117" s="815"/>
      <c r="I117" s="487" t="s">
        <v>1185</v>
      </c>
    </row>
    <row r="118" spans="1:9">
      <c r="A118" s="36"/>
      <c r="B118" s="809"/>
      <c r="C118" s="812"/>
      <c r="D118" s="809"/>
      <c r="E118" s="809"/>
      <c r="F118" s="815"/>
      <c r="G118" s="815"/>
      <c r="H118" s="815"/>
      <c r="I118" s="487" t="s">
        <v>1186</v>
      </c>
    </row>
    <row r="119" spans="1:9">
      <c r="A119" s="36"/>
      <c r="B119" s="809"/>
      <c r="C119" s="812"/>
      <c r="D119" s="809"/>
      <c r="E119" s="809"/>
      <c r="F119" s="815"/>
      <c r="G119" s="815"/>
      <c r="H119" s="815"/>
      <c r="I119" s="487" t="s">
        <v>1187</v>
      </c>
    </row>
    <row r="120" spans="1:9">
      <c r="A120" s="36"/>
      <c r="B120" s="809"/>
      <c r="C120" s="812"/>
      <c r="D120" s="809"/>
      <c r="E120" s="809"/>
      <c r="F120" s="815"/>
      <c r="G120" s="815"/>
      <c r="H120" s="815"/>
      <c r="I120" s="487" t="s">
        <v>1188</v>
      </c>
    </row>
    <row r="121" spans="1:9">
      <c r="B121" s="809"/>
      <c r="C121" s="812"/>
      <c r="D121" s="809"/>
      <c r="E121" s="809"/>
      <c r="F121" s="815"/>
      <c r="G121" s="815"/>
      <c r="H121" s="815"/>
      <c r="I121" s="487" t="s">
        <v>1189</v>
      </c>
    </row>
    <row r="122" spans="1:9">
      <c r="B122" s="809"/>
      <c r="C122" s="812"/>
      <c r="D122" s="809"/>
      <c r="E122" s="809"/>
      <c r="F122" s="815"/>
      <c r="G122" s="815"/>
      <c r="H122" s="815"/>
      <c r="I122" s="487" t="s">
        <v>1172</v>
      </c>
    </row>
    <row r="123" spans="1:9">
      <c r="B123" s="809"/>
      <c r="C123" s="812"/>
      <c r="D123" s="809"/>
      <c r="E123" s="809"/>
      <c r="F123" s="815"/>
      <c r="G123" s="815"/>
      <c r="H123" s="815"/>
      <c r="I123" s="487" t="s">
        <v>1175</v>
      </c>
    </row>
    <row r="124" spans="1:9">
      <c r="B124" s="809"/>
      <c r="C124" s="812"/>
      <c r="D124" s="809"/>
      <c r="E124" s="809"/>
      <c r="F124" s="815"/>
      <c r="G124" s="815"/>
      <c r="H124" s="815"/>
      <c r="I124" s="487" t="s">
        <v>1176</v>
      </c>
    </row>
    <row r="125" spans="1:9">
      <c r="B125" s="809"/>
      <c r="C125" s="812"/>
      <c r="D125" s="809"/>
      <c r="E125" s="809"/>
      <c r="F125" s="815"/>
      <c r="G125" s="815"/>
      <c r="H125" s="815"/>
      <c r="I125" s="487" t="s">
        <v>1173</v>
      </c>
    </row>
    <row r="126" spans="1:9">
      <c r="B126" s="809"/>
      <c r="C126" s="812"/>
      <c r="D126" s="809"/>
      <c r="E126" s="809"/>
      <c r="F126" s="815"/>
      <c r="G126" s="815"/>
      <c r="H126" s="815"/>
      <c r="I126" s="487" t="s">
        <v>1177</v>
      </c>
    </row>
    <row r="127" spans="1:9">
      <c r="B127" s="809"/>
      <c r="C127" s="812"/>
      <c r="D127" s="809"/>
      <c r="E127" s="809"/>
      <c r="F127" s="815"/>
      <c r="G127" s="815"/>
      <c r="H127" s="815"/>
      <c r="I127" s="487" t="s">
        <v>1178</v>
      </c>
    </row>
    <row r="128" spans="1:9">
      <c r="B128" s="809"/>
      <c r="C128" s="812"/>
      <c r="D128" s="809"/>
      <c r="E128" s="809"/>
      <c r="F128" s="815"/>
      <c r="G128" s="815"/>
      <c r="H128" s="815"/>
      <c r="I128" s="487" t="s">
        <v>1179</v>
      </c>
    </row>
    <row r="129" spans="2:9">
      <c r="B129" s="810"/>
      <c r="C129" s="813"/>
      <c r="D129" s="810"/>
      <c r="E129" s="810"/>
      <c r="F129" s="816"/>
      <c r="G129" s="816"/>
      <c r="H129" s="816"/>
      <c r="I129" s="487" t="s">
        <v>1180</v>
      </c>
    </row>
    <row r="130" spans="2:9">
      <c r="B130" s="487" t="s">
        <v>1054</v>
      </c>
      <c r="C130" s="613" t="s">
        <v>1103</v>
      </c>
      <c r="D130" s="487" t="s">
        <v>1072</v>
      </c>
      <c r="E130" s="487" t="s">
        <v>1102</v>
      </c>
      <c r="F130" s="655">
        <v>0.99730260000000004</v>
      </c>
      <c r="G130" s="655"/>
      <c r="H130" s="655">
        <v>0.99730260000000004</v>
      </c>
      <c r="I130" s="487"/>
    </row>
    <row r="131" spans="2:9">
      <c r="B131" s="36"/>
      <c r="C131" s="489"/>
      <c r="D131" s="36"/>
      <c r="E131" s="36"/>
      <c r="F131" s="36"/>
      <c r="G131" s="36"/>
      <c r="H131" s="36"/>
      <c r="I131" s="36"/>
    </row>
    <row r="132" spans="2:9">
      <c r="B132" s="36"/>
      <c r="C132" s="489"/>
      <c r="D132" s="36"/>
      <c r="E132" s="36"/>
      <c r="F132" s="36"/>
      <c r="G132" s="36"/>
      <c r="H132" s="36"/>
      <c r="I132" s="36"/>
    </row>
    <row r="133" spans="2:9">
      <c r="B133" s="36"/>
      <c r="C133" s="489"/>
      <c r="D133" s="36"/>
      <c r="E133" s="36"/>
      <c r="F133" s="36"/>
      <c r="G133" s="36"/>
      <c r="H133" s="36"/>
      <c r="I133" s="36"/>
    </row>
    <row r="134" spans="2:9">
      <c r="B134" s="36"/>
      <c r="C134" s="489"/>
      <c r="D134" s="36"/>
      <c r="E134" s="36"/>
      <c r="F134" s="36"/>
      <c r="G134" s="36"/>
      <c r="H134" s="36"/>
      <c r="I134" s="36"/>
    </row>
    <row r="135" spans="2:9">
      <c r="B135" s="36"/>
      <c r="C135" s="489"/>
      <c r="D135" s="36"/>
      <c r="E135" s="36"/>
      <c r="F135" s="36"/>
      <c r="G135" s="36"/>
      <c r="H135" s="36"/>
      <c r="I135" s="36"/>
    </row>
  </sheetData>
  <mergeCells count="128">
    <mergeCell ref="H24:H34"/>
    <mergeCell ref="G16:G17"/>
    <mergeCell ref="B24:B34"/>
    <mergeCell ref="C24:C34"/>
    <mergeCell ref="D24:D34"/>
    <mergeCell ref="E24:E34"/>
    <mergeCell ref="F24:F34"/>
    <mergeCell ref="E85:E86"/>
    <mergeCell ref="F85:F86"/>
    <mergeCell ref="G85:G86"/>
    <mergeCell ref="H85:H86"/>
    <mergeCell ref="H35:H36"/>
    <mergeCell ref="D42:D43"/>
    <mergeCell ref="E42:E43"/>
    <mergeCell ref="F42:F43"/>
    <mergeCell ref="G42:G43"/>
    <mergeCell ref="H42:H43"/>
    <mergeCell ref="H74:H75"/>
    <mergeCell ref="H81:H84"/>
    <mergeCell ref="G24:G34"/>
    <mergeCell ref="B35:B36"/>
    <mergeCell ref="C35:C36"/>
    <mergeCell ref="D35:D36"/>
    <mergeCell ref="E35:E36"/>
    <mergeCell ref="F11:G11"/>
    <mergeCell ref="F12:G12"/>
    <mergeCell ref="E20:E23"/>
    <mergeCell ref="F20:F23"/>
    <mergeCell ref="H16:H17"/>
    <mergeCell ref="G20:G23"/>
    <mergeCell ref="H20:H23"/>
    <mergeCell ref="B16:B17"/>
    <mergeCell ref="B20:B23"/>
    <mergeCell ref="C20:C23"/>
    <mergeCell ref="D20:D23"/>
    <mergeCell ref="C16:C17"/>
    <mergeCell ref="D16:D17"/>
    <mergeCell ref="E16:E17"/>
    <mergeCell ref="F16:F17"/>
    <mergeCell ref="F35:F36"/>
    <mergeCell ref="G35:G36"/>
    <mergeCell ref="B88:B89"/>
    <mergeCell ref="C88:C89"/>
    <mergeCell ref="D88:D89"/>
    <mergeCell ref="E88:E89"/>
    <mergeCell ref="F88:F89"/>
    <mergeCell ref="G88:G89"/>
    <mergeCell ref="B81:B84"/>
    <mergeCell ref="C81:C84"/>
    <mergeCell ref="D81:D84"/>
    <mergeCell ref="E81:E84"/>
    <mergeCell ref="F81:F84"/>
    <mergeCell ref="G81:G84"/>
    <mergeCell ref="B42:B43"/>
    <mergeCell ref="C42:C43"/>
    <mergeCell ref="H88:H89"/>
    <mergeCell ref="G69:G70"/>
    <mergeCell ref="H69:H70"/>
    <mergeCell ref="B69:B70"/>
    <mergeCell ref="C69:C70"/>
    <mergeCell ref="D69:D70"/>
    <mergeCell ref="E69:E70"/>
    <mergeCell ref="F69:F70"/>
    <mergeCell ref="B71:B72"/>
    <mergeCell ref="C71:C72"/>
    <mergeCell ref="D71:D72"/>
    <mergeCell ref="E71:E72"/>
    <mergeCell ref="F71:F72"/>
    <mergeCell ref="G71:G72"/>
    <mergeCell ref="H71:H72"/>
    <mergeCell ref="B85:B86"/>
    <mergeCell ref="C85:C86"/>
    <mergeCell ref="D85:D86"/>
    <mergeCell ref="B74:B75"/>
    <mergeCell ref="C74:C75"/>
    <mergeCell ref="D74:D75"/>
    <mergeCell ref="E74:E75"/>
    <mergeCell ref="F74:F75"/>
    <mergeCell ref="G74:G75"/>
    <mergeCell ref="E108:E109"/>
    <mergeCell ref="F108:F109"/>
    <mergeCell ref="G108:G109"/>
    <mergeCell ref="H108:H109"/>
    <mergeCell ref="B110:B111"/>
    <mergeCell ref="C110:C111"/>
    <mergeCell ref="D110:D111"/>
    <mergeCell ref="E110:E111"/>
    <mergeCell ref="F110:F111"/>
    <mergeCell ref="G110:G111"/>
    <mergeCell ref="H110:H111"/>
    <mergeCell ref="B90:B91"/>
    <mergeCell ref="C90:C91"/>
    <mergeCell ref="D90:D91"/>
    <mergeCell ref="E90:E91"/>
    <mergeCell ref="F90:F91"/>
    <mergeCell ref="G90:G91"/>
    <mergeCell ref="H90:H91"/>
    <mergeCell ref="B97:B98"/>
    <mergeCell ref="C97:C98"/>
    <mergeCell ref="D97:D98"/>
    <mergeCell ref="E97:E98"/>
    <mergeCell ref="F97:F98"/>
    <mergeCell ref="G97:G98"/>
    <mergeCell ref="H97:H98"/>
    <mergeCell ref="B113:B129"/>
    <mergeCell ref="C113:C129"/>
    <mergeCell ref="D113:D129"/>
    <mergeCell ref="E113:E129"/>
    <mergeCell ref="F113:F129"/>
    <mergeCell ref="G113:G129"/>
    <mergeCell ref="H113:H129"/>
    <mergeCell ref="B101:B102"/>
    <mergeCell ref="C101:C102"/>
    <mergeCell ref="D101:D102"/>
    <mergeCell ref="E101:E102"/>
    <mergeCell ref="F101:F102"/>
    <mergeCell ref="G101:G102"/>
    <mergeCell ref="H101:H102"/>
    <mergeCell ref="B105:B106"/>
    <mergeCell ref="C105:C106"/>
    <mergeCell ref="D105:D106"/>
    <mergeCell ref="E105:E106"/>
    <mergeCell ref="F105:F106"/>
    <mergeCell ref="G105:G106"/>
    <mergeCell ref="H105:H106"/>
    <mergeCell ref="B108:B109"/>
    <mergeCell ref="C108:C109"/>
    <mergeCell ref="D108:D109"/>
  </mergeCells>
  <hyperlinks>
    <hyperlink ref="A1" location="Contenido!A1" display="Volver al Contenido" xr:uid="{2C50B8C2-4548-46A5-8F29-3CFE9C2E498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AB274"/>
  <sheetViews>
    <sheetView showGridLines="0" zoomScale="90" zoomScaleNormal="90" workbookViewId="0">
      <pane xSplit="2" ySplit="7" topLeftCell="W8" activePane="bottomRight" state="frozen"/>
      <selection pane="topRight" activeCell="C1" sqref="C1"/>
      <selection pane="bottomLeft" activeCell="A7" sqref="A7"/>
      <selection pane="bottomRight" activeCell="AB8" sqref="AB8"/>
    </sheetView>
  </sheetViews>
  <sheetFormatPr baseColWidth="10" defaultColWidth="11.44140625" defaultRowHeight="14.4"/>
  <cols>
    <col min="1" max="1" width="4.109375" customWidth="1"/>
    <col min="2" max="2" width="73" customWidth="1"/>
    <col min="3" max="8" width="15.5546875" bestFit="1" customWidth="1"/>
    <col min="9" max="9" width="16" customWidth="1"/>
    <col min="10" max="10" width="15.5546875" bestFit="1" customWidth="1"/>
    <col min="11" max="11" width="15.109375" customWidth="1"/>
    <col min="12" max="13" width="16" customWidth="1"/>
    <col min="14" max="14" width="15.5546875" bestFit="1" customWidth="1"/>
    <col min="15" max="15" width="18.109375" customWidth="1"/>
    <col min="16" max="19" width="15.44140625" customWidth="1"/>
    <col min="20" max="20" width="14.109375" bestFit="1" customWidth="1"/>
    <col min="21" max="21" width="3.6640625" customWidth="1"/>
    <col min="22" max="22" width="53" bestFit="1" customWidth="1"/>
    <col min="23" max="28" width="15.33203125" bestFit="1" customWidth="1"/>
  </cols>
  <sheetData>
    <row r="1" spans="1:28">
      <c r="A1" s="1" t="s">
        <v>37</v>
      </c>
    </row>
    <row r="3" spans="1:28" ht="15.6">
      <c r="A3" s="48" t="s">
        <v>137</v>
      </c>
      <c r="B3" s="11" t="s">
        <v>138</v>
      </c>
      <c r="C3" s="5"/>
      <c r="D3" s="5"/>
      <c r="E3" s="6"/>
      <c r="F3" s="5"/>
      <c r="G3" s="5"/>
      <c r="H3" s="5"/>
      <c r="I3" s="6"/>
      <c r="J3" s="5"/>
      <c r="K3" s="5"/>
      <c r="L3" s="5"/>
      <c r="M3" s="6"/>
      <c r="N3" s="5"/>
      <c r="O3" s="67"/>
    </row>
    <row r="4" spans="1:28" ht="15.6">
      <c r="B4" s="13" t="s">
        <v>39</v>
      </c>
      <c r="C4" s="598">
        <f>+SUM(C9:C14)-C16</f>
        <v>743106</v>
      </c>
      <c r="D4" s="598">
        <f>+SUM(D9:D14)-D16</f>
        <v>752164</v>
      </c>
      <c r="E4" s="68"/>
      <c r="F4" s="68"/>
      <c r="G4" s="68"/>
      <c r="H4" s="68"/>
      <c r="I4" s="68"/>
      <c r="J4" s="68"/>
      <c r="K4" s="68"/>
      <c r="L4" s="68"/>
      <c r="M4" s="68"/>
      <c r="N4" s="68"/>
      <c r="O4" s="67"/>
    </row>
    <row r="5" spans="1:28" ht="15.6">
      <c r="B5" s="13"/>
      <c r="C5" s="598"/>
      <c r="D5" s="598"/>
      <c r="E5" s="598"/>
      <c r="F5" s="598"/>
      <c r="G5" s="598"/>
      <c r="H5" s="598"/>
      <c r="I5" s="598"/>
      <c r="J5" s="598"/>
      <c r="K5" s="598"/>
      <c r="L5" s="598"/>
      <c r="M5" s="598"/>
      <c r="N5" s="598"/>
      <c r="O5" s="598"/>
      <c r="P5" s="598"/>
      <c r="Q5" s="598"/>
      <c r="R5" s="598"/>
      <c r="S5" s="598"/>
      <c r="T5" s="598"/>
    </row>
    <row r="6" spans="1:28" ht="15.6">
      <c r="B6" s="8"/>
      <c r="C6" s="8"/>
      <c r="D6" s="8"/>
      <c r="E6" s="8"/>
      <c r="F6" s="8"/>
      <c r="G6" s="8"/>
      <c r="H6" s="8"/>
      <c r="I6" s="8"/>
      <c r="J6" s="8"/>
      <c r="K6" s="8"/>
      <c r="L6" s="8"/>
      <c r="M6" s="8"/>
      <c r="N6" s="8"/>
      <c r="O6" s="67"/>
      <c r="Y6" s="648"/>
    </row>
    <row r="7" spans="1:28" s="28" customFormat="1" ht="15.6">
      <c r="B7" s="69"/>
      <c r="C7" s="70">
        <v>2016</v>
      </c>
      <c r="D7" s="70">
        <v>2017</v>
      </c>
      <c r="E7" s="70" t="s">
        <v>40</v>
      </c>
      <c r="F7" s="70" t="s">
        <v>41</v>
      </c>
      <c r="G7" s="70" t="s">
        <v>42</v>
      </c>
      <c r="H7" s="70" t="s">
        <v>43</v>
      </c>
      <c r="I7" s="70" t="s">
        <v>44</v>
      </c>
      <c r="J7" s="70" t="s">
        <v>45</v>
      </c>
      <c r="K7" s="70" t="s">
        <v>46</v>
      </c>
      <c r="L7" s="70" t="s">
        <v>47</v>
      </c>
      <c r="M7" s="70" t="s">
        <v>48</v>
      </c>
      <c r="N7" s="70" t="s">
        <v>49</v>
      </c>
      <c r="O7" s="70" t="s">
        <v>50</v>
      </c>
      <c r="P7" s="70" t="s">
        <v>51</v>
      </c>
      <c r="Q7" s="70" t="s">
        <v>52</v>
      </c>
      <c r="R7" s="70" t="s">
        <v>53</v>
      </c>
      <c r="S7" s="70" t="s">
        <v>54</v>
      </c>
      <c r="T7" s="70" t="s">
        <v>55</v>
      </c>
      <c r="U7"/>
      <c r="W7" s="70" t="s">
        <v>87</v>
      </c>
      <c r="X7" s="70" t="s">
        <v>56</v>
      </c>
      <c r="Y7" s="70" t="s">
        <v>57</v>
      </c>
      <c r="Z7" s="70" t="s">
        <v>1154</v>
      </c>
      <c r="AA7" s="70" t="s">
        <v>1169</v>
      </c>
      <c r="AB7" s="70" t="s">
        <v>1207</v>
      </c>
    </row>
    <row r="8" spans="1:28" ht="15.6">
      <c r="B8" s="71" t="s">
        <v>139</v>
      </c>
      <c r="C8" s="8"/>
      <c r="D8" s="8"/>
      <c r="E8" s="8"/>
      <c r="F8" s="8"/>
      <c r="G8" s="8"/>
      <c r="H8" s="8"/>
      <c r="I8" s="8"/>
      <c r="J8" s="8"/>
      <c r="K8" s="8"/>
      <c r="L8" s="8"/>
      <c r="M8" s="527"/>
      <c r="N8" s="527"/>
      <c r="O8" s="527"/>
      <c r="V8" s="599" t="s">
        <v>139</v>
      </c>
    </row>
    <row r="9" spans="1:28" ht="15.6">
      <c r="B9" s="72" t="s">
        <v>140</v>
      </c>
      <c r="C9" s="73">
        <v>837439</v>
      </c>
      <c r="D9" s="73">
        <v>805898</v>
      </c>
      <c r="E9" s="73">
        <v>202706</v>
      </c>
      <c r="F9" s="73">
        <v>203436</v>
      </c>
      <c r="G9" s="73">
        <v>209060</v>
      </c>
      <c r="H9" s="73">
        <v>211029</v>
      </c>
      <c r="I9" s="73">
        <v>216677</v>
      </c>
      <c r="J9" s="73">
        <v>217960</v>
      </c>
      <c r="K9" s="73">
        <v>230260</v>
      </c>
      <c r="L9" s="73">
        <v>229258</v>
      </c>
      <c r="M9" s="278">
        <v>247540</v>
      </c>
      <c r="N9" s="278">
        <v>248543</v>
      </c>
      <c r="O9" s="278">
        <v>244340</v>
      </c>
      <c r="P9" s="278">
        <f>975322-O9-N9-M9</f>
        <v>234899</v>
      </c>
      <c r="Q9" s="278">
        <v>251022</v>
      </c>
      <c r="R9" s="278">
        <v>260188</v>
      </c>
      <c r="S9" s="278">
        <v>267790</v>
      </c>
      <c r="T9" s="278">
        <v>304385</v>
      </c>
      <c r="V9" s="72" t="s">
        <v>141</v>
      </c>
      <c r="W9" s="278">
        <v>348348</v>
      </c>
      <c r="X9" s="278">
        <v>359895</v>
      </c>
      <c r="Y9" s="278">
        <v>392265</v>
      </c>
      <c r="Z9" s="278">
        <v>351064</v>
      </c>
      <c r="AA9" s="278">
        <v>387916</v>
      </c>
      <c r="AB9" s="278">
        <v>373502</v>
      </c>
    </row>
    <row r="10" spans="1:28" ht="15.6">
      <c r="B10" s="72" t="s">
        <v>142</v>
      </c>
      <c r="C10" s="73">
        <v>20887</v>
      </c>
      <c r="D10" s="73">
        <v>64590</v>
      </c>
      <c r="E10" s="73">
        <v>15695</v>
      </c>
      <c r="F10" s="73">
        <v>11937</v>
      </c>
      <c r="G10" s="73">
        <v>26749</v>
      </c>
      <c r="H10" s="73">
        <v>63631</v>
      </c>
      <c r="I10" s="73">
        <v>62304</v>
      </c>
      <c r="J10" s="73">
        <v>58386</v>
      </c>
      <c r="K10" s="73">
        <v>65690</v>
      </c>
      <c r="L10" s="73">
        <v>61101</v>
      </c>
      <c r="M10" s="278">
        <v>57851</v>
      </c>
      <c r="N10" s="278">
        <v>61311</v>
      </c>
      <c r="O10" s="278">
        <v>61687</v>
      </c>
      <c r="P10" s="278">
        <f>246402-O10-N10-M10</f>
        <v>65553</v>
      </c>
      <c r="Q10" s="278">
        <v>76884</v>
      </c>
      <c r="R10" s="278">
        <v>77767</v>
      </c>
      <c r="S10" s="278">
        <v>79926</v>
      </c>
      <c r="T10" s="278">
        <v>55882</v>
      </c>
      <c r="V10" s="72" t="s">
        <v>142</v>
      </c>
      <c r="W10" s="278">
        <v>37341</v>
      </c>
      <c r="X10" s="278">
        <v>37969</v>
      </c>
      <c r="Y10" s="278">
        <v>61422</v>
      </c>
      <c r="Z10" s="278">
        <v>68012</v>
      </c>
      <c r="AA10" s="278">
        <v>48659</v>
      </c>
      <c r="AB10" s="278">
        <v>36579</v>
      </c>
    </row>
    <row r="11" spans="1:28" ht="15.6">
      <c r="B11" s="72" t="s">
        <v>143</v>
      </c>
      <c r="C11" s="73">
        <v>2166</v>
      </c>
      <c r="D11" s="73">
        <v>2176</v>
      </c>
      <c r="E11" s="73">
        <v>551</v>
      </c>
      <c r="F11" s="73">
        <v>553</v>
      </c>
      <c r="G11" s="73">
        <v>556</v>
      </c>
      <c r="H11" s="73">
        <v>568</v>
      </c>
      <c r="I11" s="73">
        <v>559</v>
      </c>
      <c r="J11" s="73">
        <v>579</v>
      </c>
      <c r="K11" s="73">
        <v>584</v>
      </c>
      <c r="L11" s="73">
        <v>591</v>
      </c>
      <c r="M11" s="278">
        <v>589</v>
      </c>
      <c r="N11" s="278">
        <v>592</v>
      </c>
      <c r="O11" s="278">
        <v>593</v>
      </c>
      <c r="P11" s="278">
        <f>2372-O11-N11-M11</f>
        <v>598</v>
      </c>
      <c r="Q11" s="278">
        <v>609</v>
      </c>
      <c r="R11" s="278">
        <v>653</v>
      </c>
      <c r="S11" s="278">
        <v>664</v>
      </c>
      <c r="T11" s="278">
        <v>688</v>
      </c>
      <c r="V11" s="72" t="s">
        <v>143</v>
      </c>
      <c r="W11" s="278">
        <v>792</v>
      </c>
      <c r="X11" s="278">
        <v>838</v>
      </c>
      <c r="Y11" s="278">
        <v>694</v>
      </c>
      <c r="Z11" s="278">
        <v>826</v>
      </c>
      <c r="AA11" s="278">
        <v>842</v>
      </c>
      <c r="AB11" s="278">
        <v>834</v>
      </c>
    </row>
    <row r="12" spans="1:28" ht="15.6">
      <c r="B12" s="72" t="s">
        <v>144</v>
      </c>
      <c r="C12" s="73">
        <v>10847</v>
      </c>
      <c r="D12" s="73">
        <v>6472</v>
      </c>
      <c r="E12" s="73">
        <v>288</v>
      </c>
      <c r="F12" s="73">
        <v>2495</v>
      </c>
      <c r="G12" s="73">
        <v>543</v>
      </c>
      <c r="H12" s="73">
        <v>3662</v>
      </c>
      <c r="I12" s="73">
        <v>986</v>
      </c>
      <c r="J12" s="73">
        <v>3555</v>
      </c>
      <c r="K12" s="73">
        <v>722</v>
      </c>
      <c r="L12" s="73">
        <v>1454</v>
      </c>
      <c r="M12" s="278">
        <v>556</v>
      </c>
      <c r="N12" s="278">
        <v>2386</v>
      </c>
      <c r="O12" s="278">
        <v>2065</v>
      </c>
      <c r="P12" s="278">
        <f>6533-O12-N12-M12</f>
        <v>1526</v>
      </c>
      <c r="Q12" s="278">
        <v>1829</v>
      </c>
      <c r="R12" s="278">
        <v>2018</v>
      </c>
      <c r="S12" s="278">
        <v>354</v>
      </c>
      <c r="T12" s="278">
        <v>1046</v>
      </c>
      <c r="V12" s="72" t="s">
        <v>144</v>
      </c>
      <c r="W12" s="278">
        <v>-139</v>
      </c>
      <c r="X12" s="278">
        <v>440</v>
      </c>
      <c r="Y12" s="278">
        <v>1011</v>
      </c>
      <c r="Z12" s="278">
        <v>3146</v>
      </c>
      <c r="AA12" s="278">
        <v>-324</v>
      </c>
      <c r="AB12" s="278">
        <v>2746</v>
      </c>
    </row>
    <row r="13" spans="1:28" ht="15.6">
      <c r="B13" s="72" t="s">
        <v>145</v>
      </c>
      <c r="C13" s="73">
        <v>979</v>
      </c>
      <c r="D13" s="73">
        <v>3784</v>
      </c>
      <c r="E13" s="73">
        <v>197</v>
      </c>
      <c r="F13" s="73">
        <v>228</v>
      </c>
      <c r="G13" s="73">
        <v>202</v>
      </c>
      <c r="H13" s="73">
        <v>3836</v>
      </c>
      <c r="I13" s="73">
        <v>405</v>
      </c>
      <c r="J13" s="73">
        <v>405</v>
      </c>
      <c r="K13" s="73">
        <v>405</v>
      </c>
      <c r="L13" s="73">
        <v>405</v>
      </c>
      <c r="M13" s="278">
        <v>195</v>
      </c>
      <c r="N13" s="278">
        <v>80</v>
      </c>
      <c r="O13" s="278">
        <v>80</v>
      </c>
      <c r="P13" s="278">
        <f>418-O13-N13-M13</f>
        <v>63</v>
      </c>
      <c r="Q13" s="278">
        <v>46</v>
      </c>
      <c r="R13" s="278">
        <v>54</v>
      </c>
      <c r="S13" s="278">
        <v>54</v>
      </c>
      <c r="T13" s="278">
        <v>54</v>
      </c>
      <c r="V13" s="72" t="s">
        <v>145</v>
      </c>
      <c r="W13" s="278">
        <v>0</v>
      </c>
      <c r="X13" s="278">
        <v>0</v>
      </c>
      <c r="Y13" s="278">
        <v>163</v>
      </c>
      <c r="Z13" s="278">
        <v>54</v>
      </c>
      <c r="AA13" s="278">
        <v>54</v>
      </c>
      <c r="AB13" s="278">
        <v>54</v>
      </c>
    </row>
    <row r="14" spans="1:28" ht="15.6">
      <c r="B14" s="72" t="s">
        <v>68</v>
      </c>
      <c r="C14" s="73">
        <v>8923</v>
      </c>
      <c r="D14" s="73">
        <v>6319</v>
      </c>
      <c r="E14" s="73">
        <v>63172</v>
      </c>
      <c r="F14" s="73">
        <v>2324</v>
      </c>
      <c r="G14" s="73">
        <v>3437</v>
      </c>
      <c r="H14" s="73">
        <v>-1634</v>
      </c>
      <c r="I14" s="73">
        <v>1275</v>
      </c>
      <c r="J14" s="73">
        <v>2305</v>
      </c>
      <c r="K14" s="73">
        <v>1938</v>
      </c>
      <c r="L14" s="73">
        <v>1964</v>
      </c>
      <c r="M14" s="278">
        <v>2013</v>
      </c>
      <c r="N14" s="278">
        <v>2182</v>
      </c>
      <c r="O14" s="278">
        <v>2150</v>
      </c>
      <c r="P14" s="278">
        <f>8438-O14-N14-M14</f>
        <v>2093</v>
      </c>
      <c r="Q14" s="278">
        <v>3135</v>
      </c>
      <c r="R14" s="278">
        <v>2112</v>
      </c>
      <c r="S14" s="278">
        <v>2338</v>
      </c>
      <c r="T14" s="278">
        <v>2401</v>
      </c>
      <c r="V14" s="72" t="s">
        <v>68</v>
      </c>
      <c r="W14" s="278">
        <v>4594</v>
      </c>
      <c r="X14" s="278">
        <v>2575</v>
      </c>
      <c r="Y14" s="278">
        <v>2300</v>
      </c>
      <c r="Z14" s="278">
        <v>2125</v>
      </c>
      <c r="AA14" s="278">
        <v>2918</v>
      </c>
      <c r="AB14" s="278">
        <v>-1299</v>
      </c>
    </row>
    <row r="15" spans="1:28" s="594" customFormat="1" ht="15.6">
      <c r="B15" s="131" t="s">
        <v>146</v>
      </c>
      <c r="C15" s="597">
        <f>+SUM(C9:C14)</f>
        <v>881241</v>
      </c>
      <c r="D15" s="597">
        <f>+SUM(D9:D14)</f>
        <v>889239</v>
      </c>
      <c r="E15" s="597">
        <f t="shared" ref="E15:AA15" si="0">+SUM(E9:E14)</f>
        <v>282609</v>
      </c>
      <c r="F15" s="597">
        <f t="shared" si="0"/>
        <v>220973</v>
      </c>
      <c r="G15" s="597">
        <f t="shared" si="0"/>
        <v>240547</v>
      </c>
      <c r="H15" s="597">
        <f t="shared" si="0"/>
        <v>281092</v>
      </c>
      <c r="I15" s="597">
        <f t="shared" si="0"/>
        <v>282206</v>
      </c>
      <c r="J15" s="597">
        <f t="shared" si="0"/>
        <v>283190</v>
      </c>
      <c r="K15" s="597">
        <f t="shared" si="0"/>
        <v>299599</v>
      </c>
      <c r="L15" s="597">
        <f t="shared" si="0"/>
        <v>294773</v>
      </c>
      <c r="M15" s="597">
        <f t="shared" si="0"/>
        <v>308744</v>
      </c>
      <c r="N15" s="597">
        <f t="shared" si="0"/>
        <v>315094</v>
      </c>
      <c r="O15" s="597">
        <f t="shared" si="0"/>
        <v>310915</v>
      </c>
      <c r="P15" s="597">
        <f t="shared" si="0"/>
        <v>304732</v>
      </c>
      <c r="Q15" s="597">
        <f t="shared" si="0"/>
        <v>333525</v>
      </c>
      <c r="R15" s="597">
        <f t="shared" si="0"/>
        <v>342792</v>
      </c>
      <c r="S15" s="597">
        <f t="shared" si="0"/>
        <v>351126</v>
      </c>
      <c r="T15" s="597">
        <f t="shared" si="0"/>
        <v>364456</v>
      </c>
      <c r="U15" s="597">
        <f t="shared" si="0"/>
        <v>0</v>
      </c>
      <c r="V15" s="599" t="s">
        <v>146</v>
      </c>
      <c r="W15" s="597">
        <f t="shared" si="0"/>
        <v>390936</v>
      </c>
      <c r="X15" s="597">
        <f t="shared" si="0"/>
        <v>401717</v>
      </c>
      <c r="Y15" s="597">
        <f t="shared" si="0"/>
        <v>457855</v>
      </c>
      <c r="Z15" s="597">
        <f t="shared" si="0"/>
        <v>425227</v>
      </c>
      <c r="AA15" s="597">
        <f t="shared" si="0"/>
        <v>440065</v>
      </c>
      <c r="AB15" s="597">
        <v>412416</v>
      </c>
    </row>
    <row r="16" spans="1:28" ht="15.6">
      <c r="B16" s="72" t="s">
        <v>69</v>
      </c>
      <c r="C16" s="73">
        <v>138135</v>
      </c>
      <c r="D16" s="73">
        <v>137075</v>
      </c>
      <c r="E16" s="73">
        <v>38850</v>
      </c>
      <c r="F16" s="73">
        <v>27810</v>
      </c>
      <c r="G16" s="73">
        <v>30029</v>
      </c>
      <c r="H16" s="73">
        <v>33058</v>
      </c>
      <c r="I16" s="73">
        <v>43956</v>
      </c>
      <c r="J16" s="73">
        <v>34908</v>
      </c>
      <c r="K16" s="73">
        <v>32330</v>
      </c>
      <c r="L16" s="73">
        <v>45151</v>
      </c>
      <c r="M16" s="278">
        <v>46417</v>
      </c>
      <c r="N16" s="278">
        <v>34301</v>
      </c>
      <c r="O16" s="278">
        <v>33304</v>
      </c>
      <c r="P16" s="278">
        <f>164657-O16-N16-M16</f>
        <v>50635</v>
      </c>
      <c r="Q16" s="278">
        <v>35957</v>
      </c>
      <c r="R16" s="278">
        <v>50598</v>
      </c>
      <c r="S16" s="278">
        <v>38459</v>
      </c>
      <c r="T16" s="278">
        <v>57181</v>
      </c>
      <c r="V16" s="72" t="s">
        <v>69</v>
      </c>
      <c r="W16" s="278">
        <v>50600</v>
      </c>
      <c r="X16" s="278">
        <v>40779</v>
      </c>
      <c r="Y16" s="278">
        <v>48525.127171700013</v>
      </c>
      <c r="Z16" s="278">
        <v>59789.999999999993</v>
      </c>
      <c r="AA16" s="278">
        <v>70954</v>
      </c>
      <c r="AB16" s="278">
        <v>60568</v>
      </c>
    </row>
    <row r="17" spans="1:28" ht="15.6">
      <c r="B17" s="74" t="s">
        <v>147</v>
      </c>
      <c r="C17" s="75">
        <f>+C15-C16</f>
        <v>743106</v>
      </c>
      <c r="D17" s="75">
        <f t="shared" ref="D17:I17" si="1">+D15-D16</f>
        <v>752164</v>
      </c>
      <c r="E17" s="75">
        <f t="shared" si="1"/>
        <v>243759</v>
      </c>
      <c r="F17" s="75">
        <f t="shared" si="1"/>
        <v>193163</v>
      </c>
      <c r="G17" s="75">
        <f t="shared" si="1"/>
        <v>210518</v>
      </c>
      <c r="H17" s="75">
        <f t="shared" si="1"/>
        <v>248034</v>
      </c>
      <c r="I17" s="75">
        <f t="shared" si="1"/>
        <v>238250</v>
      </c>
      <c r="J17" s="75">
        <f t="shared" ref="J17" si="2">+J15-J16</f>
        <v>248282</v>
      </c>
      <c r="K17" s="75">
        <f t="shared" ref="K17" si="3">+K15-K16</f>
        <v>267269</v>
      </c>
      <c r="L17" s="75">
        <f t="shared" ref="L17" si="4">+L15-L16</f>
        <v>249622</v>
      </c>
      <c r="M17" s="75">
        <f t="shared" ref="M17" si="5">+M15-M16</f>
        <v>262327</v>
      </c>
      <c r="N17" s="75">
        <f t="shared" ref="N17:O17" si="6">+N15-N16</f>
        <v>280793</v>
      </c>
      <c r="O17" s="75">
        <f t="shared" si="6"/>
        <v>277611</v>
      </c>
      <c r="P17" s="75">
        <f t="shared" ref="P17" si="7">+P15-P16</f>
        <v>254097</v>
      </c>
      <c r="Q17" s="75">
        <f t="shared" ref="Q17" si="8">+Q15-Q16</f>
        <v>297568</v>
      </c>
      <c r="R17" s="75">
        <f t="shared" ref="R17" si="9">+R15-R16</f>
        <v>292194</v>
      </c>
      <c r="S17" s="75">
        <f t="shared" ref="S17" si="10">+S15-S16</f>
        <v>312667</v>
      </c>
      <c r="T17" s="75">
        <f t="shared" ref="T17" si="11">+T15-T16</f>
        <v>307275</v>
      </c>
      <c r="V17" s="72" t="s">
        <v>71</v>
      </c>
      <c r="W17" s="278">
        <v>55495</v>
      </c>
      <c r="X17" s="278">
        <v>50268</v>
      </c>
      <c r="Y17" s="278">
        <v>52839.999925650023</v>
      </c>
      <c r="Z17" s="278">
        <v>55814.999999999993</v>
      </c>
      <c r="AA17" s="278">
        <v>56855</v>
      </c>
      <c r="AB17" s="278">
        <v>56256</v>
      </c>
    </row>
    <row r="18" spans="1:28" ht="15.6">
      <c r="B18" s="71"/>
      <c r="C18" s="8"/>
      <c r="D18" s="8"/>
      <c r="E18" s="8"/>
      <c r="F18" s="8"/>
      <c r="G18" s="8"/>
      <c r="H18" s="8"/>
      <c r="I18" s="8"/>
      <c r="J18" s="8"/>
      <c r="K18" s="8"/>
      <c r="L18" s="8"/>
      <c r="M18" s="39"/>
      <c r="N18" s="39"/>
      <c r="O18" s="39"/>
      <c r="P18" s="39"/>
      <c r="Q18" s="39"/>
      <c r="R18" s="39"/>
      <c r="S18" s="39"/>
      <c r="T18" s="39"/>
      <c r="V18" s="74" t="s">
        <v>148</v>
      </c>
      <c r="W18" s="279">
        <v>284841</v>
      </c>
      <c r="X18" s="279">
        <v>310670</v>
      </c>
      <c r="Y18" s="279">
        <v>356490</v>
      </c>
      <c r="Z18" s="279">
        <f>+Z15-Z16-Z17</f>
        <v>309622</v>
      </c>
      <c r="AA18" s="279">
        <f>+AA15-AA16-AA17</f>
        <v>312256</v>
      </c>
      <c r="AB18" s="279">
        <v>295592</v>
      </c>
    </row>
    <row r="19" spans="1:28" ht="15.6">
      <c r="B19" s="72" t="s">
        <v>71</v>
      </c>
      <c r="C19" s="73">
        <v>189361</v>
      </c>
      <c r="D19" s="73">
        <v>166345</v>
      </c>
      <c r="E19" s="73">
        <v>44671</v>
      </c>
      <c r="F19" s="73">
        <v>43742</v>
      </c>
      <c r="G19" s="73">
        <v>43552</v>
      </c>
      <c r="H19" s="73">
        <v>34912</v>
      </c>
      <c r="I19" s="73">
        <v>44008</v>
      </c>
      <c r="J19" s="73">
        <v>42137</v>
      </c>
      <c r="K19" s="73">
        <v>48383</v>
      </c>
      <c r="L19" s="73">
        <v>37586</v>
      </c>
      <c r="M19" s="278">
        <v>43933</v>
      </c>
      <c r="N19" s="278">
        <v>44289</v>
      </c>
      <c r="O19" s="278">
        <v>44095</v>
      </c>
      <c r="P19" s="278">
        <f>176786-O19-N19-M19</f>
        <v>44469</v>
      </c>
      <c r="Q19" s="278">
        <v>50132</v>
      </c>
      <c r="R19" s="278">
        <v>50598</v>
      </c>
      <c r="S19" s="278">
        <v>50158</v>
      </c>
      <c r="T19" s="278">
        <v>60290</v>
      </c>
    </row>
    <row r="20" spans="1:28" s="36" customFormat="1" ht="15.6">
      <c r="B20" s="506" t="s">
        <v>74</v>
      </c>
      <c r="C20" s="507">
        <v>1906783</v>
      </c>
      <c r="D20" s="507">
        <v>1128274</v>
      </c>
      <c r="E20" s="507">
        <v>203004</v>
      </c>
      <c r="F20" s="507">
        <v>175187</v>
      </c>
      <c r="G20" s="507">
        <v>344397</v>
      </c>
      <c r="H20" s="507">
        <v>350199</v>
      </c>
      <c r="I20" s="507">
        <v>277267</v>
      </c>
      <c r="J20" s="507">
        <v>359351</v>
      </c>
      <c r="K20" s="507">
        <v>332630</v>
      </c>
      <c r="L20" s="507">
        <v>318187</v>
      </c>
      <c r="M20" s="508">
        <f>272185+35517</f>
        <v>307702</v>
      </c>
      <c r="N20" s="508">
        <f>428492+28869</f>
        <v>457361</v>
      </c>
      <c r="O20" s="508">
        <f>361720+82358</f>
        <v>444078</v>
      </c>
      <c r="P20" s="508">
        <f>1621538-O20-N20-M20</f>
        <v>412397</v>
      </c>
      <c r="Q20" s="508">
        <v>384338</v>
      </c>
      <c r="R20" s="508">
        <v>442842</v>
      </c>
      <c r="S20" s="508">
        <v>158921</v>
      </c>
      <c r="T20" s="278">
        <v>362471</v>
      </c>
      <c r="U20"/>
      <c r="V20" s="506" t="s">
        <v>74</v>
      </c>
      <c r="W20" s="278">
        <v>300231</v>
      </c>
      <c r="X20" s="278">
        <v>509143</v>
      </c>
      <c r="Y20" s="278">
        <v>479072</v>
      </c>
      <c r="Z20" s="278">
        <v>352945</v>
      </c>
      <c r="AA20" s="278">
        <v>690320</v>
      </c>
      <c r="AB20" s="278">
        <v>592650</v>
      </c>
    </row>
    <row r="21" spans="1:28" ht="15.6">
      <c r="B21" s="72" t="s">
        <v>75</v>
      </c>
      <c r="C21" s="73">
        <v>3226</v>
      </c>
      <c r="D21" s="73">
        <v>3930</v>
      </c>
      <c r="E21" s="73">
        <v>155</v>
      </c>
      <c r="F21" s="73">
        <v>-66</v>
      </c>
      <c r="G21" s="73">
        <v>1641</v>
      </c>
      <c r="H21" s="73">
        <v>-2449</v>
      </c>
      <c r="I21" s="73">
        <v>-902</v>
      </c>
      <c r="J21" s="73">
        <v>128</v>
      </c>
      <c r="K21" s="73">
        <v>-182</v>
      </c>
      <c r="L21" s="73">
        <v>17123</v>
      </c>
      <c r="M21" s="278">
        <v>2652</v>
      </c>
      <c r="N21" s="278">
        <v>-3454</v>
      </c>
      <c r="O21" s="278">
        <v>-3694</v>
      </c>
      <c r="P21" s="278">
        <f>-5866-O21-N21-M21</f>
        <v>-1370</v>
      </c>
      <c r="Q21" s="278">
        <v>1649</v>
      </c>
      <c r="R21" s="278">
        <v>13</v>
      </c>
      <c r="S21" s="278">
        <v>-34</v>
      </c>
      <c r="T21" s="278">
        <v>1888</v>
      </c>
      <c r="V21" s="72" t="s">
        <v>75</v>
      </c>
      <c r="W21" s="278">
        <v>1853</v>
      </c>
      <c r="X21" s="278">
        <v>2033</v>
      </c>
      <c r="Y21" s="278">
        <v>-143</v>
      </c>
      <c r="Z21" s="278">
        <v>327</v>
      </c>
      <c r="AA21" s="278">
        <v>2464</v>
      </c>
      <c r="AB21" s="278">
        <v>71</v>
      </c>
    </row>
    <row r="22" spans="1:28" ht="15.6">
      <c r="B22" s="74" t="s">
        <v>76</v>
      </c>
      <c r="C22" s="76">
        <v>2463754</v>
      </c>
      <c r="D22" s="76">
        <v>1718023</v>
      </c>
      <c r="E22" s="76">
        <v>402247</v>
      </c>
      <c r="F22" s="76">
        <v>324542</v>
      </c>
      <c r="G22" s="76">
        <v>513004</v>
      </c>
      <c r="H22" s="76">
        <v>560872</v>
      </c>
      <c r="I22" s="76">
        <v>470607</v>
      </c>
      <c r="J22" s="76">
        <v>565624</v>
      </c>
      <c r="K22" s="76">
        <v>551334</v>
      </c>
      <c r="L22" s="76">
        <v>547346</v>
      </c>
      <c r="M22" s="280">
        <f t="shared" ref="M22:N22" si="12">+M17-M19+M20+M21</f>
        <v>528748</v>
      </c>
      <c r="N22" s="280">
        <f t="shared" si="12"/>
        <v>690411</v>
      </c>
      <c r="O22" s="280">
        <f>+O17-O19+O20+O21</f>
        <v>673900</v>
      </c>
      <c r="P22" s="280">
        <f>+P17-P19+P20+P21</f>
        <v>620655</v>
      </c>
      <c r="Q22" s="280">
        <f>+Q17-Q19+Q20+Q21</f>
        <v>633423</v>
      </c>
      <c r="R22" s="280">
        <v>684451</v>
      </c>
      <c r="S22" s="280">
        <f>+S17-S19+S20+S21</f>
        <v>421396</v>
      </c>
      <c r="T22" s="280">
        <f t="shared" ref="T22" si="13">+T17-T19+T20+T21</f>
        <v>611344</v>
      </c>
      <c r="V22" s="74" t="s">
        <v>76</v>
      </c>
      <c r="W22" s="280">
        <v>586925</v>
      </c>
      <c r="X22" s="280">
        <v>821846</v>
      </c>
      <c r="Y22" s="280">
        <v>835419</v>
      </c>
      <c r="Z22" s="280">
        <f>+Z18+Z20+Z21</f>
        <v>662894</v>
      </c>
      <c r="AA22" s="280">
        <f>+AA18+AA20+AA21</f>
        <v>1005040</v>
      </c>
      <c r="AB22" s="280">
        <v>888313</v>
      </c>
    </row>
    <row r="23" spans="1:28" ht="15.6">
      <c r="B23" s="72"/>
      <c r="C23" s="73"/>
      <c r="D23" s="73"/>
      <c r="E23" s="73"/>
      <c r="F23" s="73"/>
      <c r="G23" s="73"/>
      <c r="H23" s="73"/>
      <c r="I23" s="73"/>
      <c r="J23" s="73"/>
      <c r="K23" s="73"/>
      <c r="L23" s="73"/>
      <c r="M23" s="278"/>
      <c r="N23" s="278"/>
      <c r="O23" s="278"/>
      <c r="P23" s="278"/>
      <c r="Q23" s="278"/>
      <c r="R23" s="278">
        <v>0</v>
      </c>
      <c r="S23" s="278"/>
      <c r="T23" s="278"/>
    </row>
    <row r="24" spans="1:28" ht="15.6">
      <c r="B24" s="72" t="s">
        <v>77</v>
      </c>
      <c r="C24" s="73">
        <v>-229899</v>
      </c>
      <c r="D24" s="73">
        <v>-201518</v>
      </c>
      <c r="E24" s="73">
        <v>-74633</v>
      </c>
      <c r="F24" s="73">
        <v>-47454</v>
      </c>
      <c r="G24" s="73">
        <v>-70599</v>
      </c>
      <c r="H24" s="73">
        <v>-62062</v>
      </c>
      <c r="I24" s="73">
        <v>-75783</v>
      </c>
      <c r="J24" s="73">
        <v>-84448</v>
      </c>
      <c r="K24" s="73">
        <v>-91659</v>
      </c>
      <c r="L24" s="73">
        <v>-74286</v>
      </c>
      <c r="M24" s="278">
        <v>-95269</v>
      </c>
      <c r="N24" s="278">
        <f>-70381-2</f>
        <v>-70383</v>
      </c>
      <c r="O24" s="278">
        <f>-66586+2</f>
        <v>-66584</v>
      </c>
      <c r="P24" s="278">
        <f>-296835-O24-N24-M24</f>
        <v>-64599</v>
      </c>
      <c r="Q24" s="278">
        <v>-56641</v>
      </c>
      <c r="R24" s="278">
        <v>-65074</v>
      </c>
      <c r="S24" s="278">
        <v>-90635</v>
      </c>
      <c r="T24" s="278">
        <v>-118177</v>
      </c>
      <c r="V24" s="72" t="s">
        <v>77</v>
      </c>
      <c r="W24" s="278">
        <v>-97526</v>
      </c>
      <c r="X24" s="278">
        <v>-89459</v>
      </c>
      <c r="Y24" s="278">
        <v>-99503</v>
      </c>
      <c r="Z24" s="278">
        <v>-120273</v>
      </c>
      <c r="AA24" s="278">
        <v>-122914</v>
      </c>
      <c r="AB24" s="278">
        <v>-127183</v>
      </c>
    </row>
    <row r="25" spans="1:28" ht="15.6">
      <c r="B25" s="74" t="s">
        <v>78</v>
      </c>
      <c r="C25" s="76">
        <v>2233855</v>
      </c>
      <c r="D25" s="76">
        <v>1516505</v>
      </c>
      <c r="E25" s="76">
        <v>327614</v>
      </c>
      <c r="F25" s="76">
        <v>277088</v>
      </c>
      <c r="G25" s="76">
        <v>442405</v>
      </c>
      <c r="H25" s="76">
        <v>498810</v>
      </c>
      <c r="I25" s="76">
        <v>394824</v>
      </c>
      <c r="J25" s="76">
        <v>481176</v>
      </c>
      <c r="K25" s="76">
        <v>459675</v>
      </c>
      <c r="L25" s="76">
        <v>473060</v>
      </c>
      <c r="M25" s="280">
        <f t="shared" ref="M25:O25" si="14">+M22+M24</f>
        <v>433479</v>
      </c>
      <c r="N25" s="280">
        <f t="shared" si="14"/>
        <v>620028</v>
      </c>
      <c r="O25" s="280">
        <f t="shared" si="14"/>
        <v>607316</v>
      </c>
      <c r="P25" s="280">
        <f>+P22+P24</f>
        <v>556056</v>
      </c>
      <c r="Q25" s="280">
        <f>+Q22+Q24</f>
        <v>576782</v>
      </c>
      <c r="R25" s="280">
        <v>619377</v>
      </c>
      <c r="S25" s="280">
        <f>+S22+S24</f>
        <v>330761</v>
      </c>
      <c r="T25" s="280">
        <f>+T22+T24</f>
        <v>493167</v>
      </c>
      <c r="V25" s="74" t="s">
        <v>78</v>
      </c>
      <c r="W25" s="280">
        <v>489399</v>
      </c>
      <c r="X25" s="280">
        <v>732387</v>
      </c>
      <c r="Y25" s="280">
        <v>735916</v>
      </c>
      <c r="Z25" s="280">
        <f>+Z22+Z24</f>
        <v>542621</v>
      </c>
      <c r="AA25" s="280">
        <f>+AA22+AA24</f>
        <v>882126</v>
      </c>
      <c r="AB25" s="280">
        <v>761130</v>
      </c>
    </row>
    <row r="26" spans="1:28" ht="15.6">
      <c r="B26" s="71"/>
      <c r="C26" s="8"/>
      <c r="D26" s="8"/>
      <c r="E26" s="8"/>
      <c r="F26" s="8"/>
      <c r="G26" s="8"/>
      <c r="H26" s="8"/>
      <c r="I26" s="8"/>
      <c r="J26" s="8"/>
      <c r="K26" s="8"/>
      <c r="L26" s="8"/>
      <c r="M26" s="39"/>
      <c r="N26" s="39"/>
      <c r="O26" s="39"/>
      <c r="P26" s="39"/>
      <c r="Q26" s="39"/>
      <c r="R26" s="39"/>
      <c r="S26" s="39"/>
      <c r="T26" s="39"/>
      <c r="V26" s="71"/>
    </row>
    <row r="27" spans="1:28" ht="15.6">
      <c r="B27" s="72" t="s">
        <v>79</v>
      </c>
      <c r="C27" s="73">
        <v>92395</v>
      </c>
      <c r="D27" s="73">
        <v>73797</v>
      </c>
      <c r="E27" s="73">
        <v>28846</v>
      </c>
      <c r="F27" s="73">
        <v>43637</v>
      </c>
      <c r="G27" s="73">
        <v>28184</v>
      </c>
      <c r="H27" s="73">
        <v>-83905</v>
      </c>
      <c r="I27" s="73">
        <v>40505</v>
      </c>
      <c r="J27" s="73">
        <v>40894</v>
      </c>
      <c r="K27" s="73">
        <v>52631</v>
      </c>
      <c r="L27" s="73">
        <v>31200</v>
      </c>
      <c r="M27" s="278">
        <v>18262</v>
      </c>
      <c r="N27" s="278">
        <v>39554</v>
      </c>
      <c r="O27" s="278">
        <v>39993</v>
      </c>
      <c r="P27" s="278">
        <f>153929-O27-N27-M27</f>
        <v>56120</v>
      </c>
      <c r="Q27" s="278">
        <v>55178</v>
      </c>
      <c r="R27" s="278">
        <v>47961</v>
      </c>
      <c r="S27" s="278">
        <v>209811</v>
      </c>
      <c r="T27" s="278">
        <v>48182</v>
      </c>
      <c r="V27" s="72" t="s">
        <v>79</v>
      </c>
      <c r="W27" s="278">
        <v>61449</v>
      </c>
      <c r="X27" s="278">
        <v>64257</v>
      </c>
      <c r="Y27" s="278">
        <v>71616</v>
      </c>
      <c r="Z27" s="278">
        <v>112604</v>
      </c>
      <c r="AA27" s="278">
        <v>56406</v>
      </c>
      <c r="AB27" s="278">
        <v>69333</v>
      </c>
    </row>
    <row r="28" spans="1:28" ht="15.6">
      <c r="B28" s="74" t="s">
        <v>82</v>
      </c>
      <c r="C28" s="76">
        <v>2141460</v>
      </c>
      <c r="D28" s="76">
        <v>1442708</v>
      </c>
      <c r="E28" s="76">
        <v>298768</v>
      </c>
      <c r="F28" s="76">
        <v>233451</v>
      </c>
      <c r="G28" s="76">
        <v>414221</v>
      </c>
      <c r="H28" s="76">
        <v>582715</v>
      </c>
      <c r="I28" s="76">
        <v>354319</v>
      </c>
      <c r="J28" s="76">
        <v>440282</v>
      </c>
      <c r="K28" s="76">
        <v>407044</v>
      </c>
      <c r="L28" s="76">
        <v>441860</v>
      </c>
      <c r="M28" s="280">
        <f t="shared" ref="M28:O28" si="15">+M25-M27</f>
        <v>415217</v>
      </c>
      <c r="N28" s="280">
        <f t="shared" si="15"/>
        <v>580474</v>
      </c>
      <c r="O28" s="280">
        <f t="shared" si="15"/>
        <v>567323</v>
      </c>
      <c r="P28" s="280">
        <f>+P25-P27</f>
        <v>499936</v>
      </c>
      <c r="Q28" s="280">
        <f>+Q25-Q27</f>
        <v>521604</v>
      </c>
      <c r="R28" s="280">
        <v>571416</v>
      </c>
      <c r="S28" s="280">
        <f>+S25-S27</f>
        <v>120950</v>
      </c>
      <c r="T28" s="280">
        <f>+T25-T27</f>
        <v>444985</v>
      </c>
      <c r="V28" s="74" t="s">
        <v>82</v>
      </c>
      <c r="W28" s="280">
        <v>427950</v>
      </c>
      <c r="X28" s="280">
        <v>668130</v>
      </c>
      <c r="Y28" s="280">
        <v>664300</v>
      </c>
      <c r="Z28" s="280">
        <f>+Z25-Z27</f>
        <v>430017</v>
      </c>
      <c r="AA28" s="280">
        <f>+AA25-AA27</f>
        <v>825720</v>
      </c>
      <c r="AB28" s="280">
        <v>691797</v>
      </c>
    </row>
    <row r="29" spans="1:28" ht="15.6">
      <c r="B29" s="67"/>
      <c r="C29" s="67"/>
      <c r="D29" s="67"/>
      <c r="E29" s="67"/>
      <c r="F29" s="67"/>
      <c r="G29" s="67"/>
      <c r="H29" s="67"/>
      <c r="I29" s="67"/>
      <c r="J29" s="67"/>
      <c r="K29" s="67"/>
      <c r="L29" s="67"/>
      <c r="M29" s="67"/>
      <c r="N29" s="67"/>
      <c r="O29" s="67"/>
      <c r="W29" s="552"/>
      <c r="X29" s="552"/>
      <c r="Y29" s="552"/>
      <c r="Z29" s="552"/>
      <c r="AA29" s="552"/>
      <c r="AB29" s="552"/>
    </row>
    <row r="30" spans="1:28" ht="15.6">
      <c r="B30" s="132"/>
      <c r="C30" s="67"/>
      <c r="D30" s="67"/>
      <c r="E30" s="67"/>
      <c r="F30" s="67"/>
      <c r="G30" s="67"/>
      <c r="H30" s="67"/>
      <c r="I30" s="67"/>
      <c r="J30" s="67"/>
      <c r="K30" s="67"/>
      <c r="L30" s="67"/>
      <c r="M30" s="67"/>
      <c r="N30" s="67"/>
      <c r="O30" s="67"/>
      <c r="V30" s="529" t="s">
        <v>72</v>
      </c>
      <c r="W30" s="280">
        <v>658358</v>
      </c>
      <c r="X30" s="280">
        <v>873044</v>
      </c>
      <c r="Y30" s="280">
        <v>892080</v>
      </c>
      <c r="Z30" s="280">
        <v>727635</v>
      </c>
      <c r="AA30" s="280">
        <v>1080144</v>
      </c>
      <c r="AB30" s="280">
        <v>950478</v>
      </c>
    </row>
    <row r="31" spans="1:28" ht="15.6">
      <c r="B31" s="67"/>
      <c r="C31" s="67"/>
      <c r="D31" s="67"/>
      <c r="E31" s="67"/>
      <c r="F31" s="67"/>
      <c r="G31" s="67"/>
      <c r="H31" s="67"/>
      <c r="I31" s="67"/>
      <c r="J31" s="67"/>
      <c r="K31" s="67"/>
      <c r="L31" s="67"/>
      <c r="M31" s="67"/>
      <c r="N31" s="67"/>
      <c r="O31" s="67"/>
    </row>
    <row r="32" spans="1:28" ht="15.6">
      <c r="A32" s="48" t="s">
        <v>137</v>
      </c>
      <c r="B32" s="11" t="s">
        <v>149</v>
      </c>
      <c r="C32" s="68"/>
      <c r="D32" s="68"/>
      <c r="E32" s="68"/>
      <c r="F32" s="68"/>
      <c r="G32" s="68"/>
      <c r="H32" s="77"/>
      <c r="I32" s="77"/>
      <c r="J32" s="77"/>
      <c r="K32" s="77"/>
      <c r="L32" s="77"/>
      <c r="M32" s="77"/>
      <c r="N32" s="77"/>
      <c r="O32" s="77"/>
    </row>
    <row r="33" spans="2:28" ht="15.6">
      <c r="B33" s="13" t="s">
        <v>86</v>
      </c>
      <c r="C33" s="68"/>
      <c r="D33" s="68"/>
      <c r="E33" s="68"/>
      <c r="F33" s="68"/>
      <c r="G33" s="68"/>
      <c r="H33" s="78"/>
      <c r="I33" s="78"/>
      <c r="J33" s="78"/>
      <c r="K33" s="78"/>
      <c r="L33" s="78"/>
      <c r="M33" s="78"/>
      <c r="N33" s="78"/>
      <c r="O33" s="78"/>
    </row>
    <row r="34" spans="2:28" ht="15.6">
      <c r="B34" s="79"/>
      <c r="C34" s="68"/>
      <c r="D34" s="68"/>
      <c r="E34" s="68"/>
      <c r="F34" s="68"/>
      <c r="G34" s="68"/>
      <c r="H34" s="79"/>
      <c r="I34" s="79"/>
      <c r="J34" s="79"/>
      <c r="K34" s="79"/>
      <c r="L34" s="79"/>
      <c r="M34" s="79"/>
      <c r="N34" s="79"/>
      <c r="O34" s="79"/>
    </row>
    <row r="35" spans="2:28" ht="16.2" thickBot="1">
      <c r="B35" s="80"/>
      <c r="C35" s="81"/>
      <c r="D35" s="81"/>
      <c r="E35" s="81"/>
      <c r="F35" s="81"/>
      <c r="G35" s="81"/>
      <c r="H35" s="81"/>
      <c r="I35" s="81"/>
      <c r="J35" s="81"/>
      <c r="K35" s="81"/>
      <c r="L35" s="81"/>
      <c r="M35" s="81"/>
      <c r="N35" s="81"/>
      <c r="O35" s="81"/>
      <c r="P35" s="81"/>
      <c r="Q35" s="81"/>
      <c r="R35" s="81"/>
      <c r="S35" s="81"/>
      <c r="T35" s="81"/>
      <c r="V35" s="80"/>
      <c r="W35" s="70" t="s">
        <v>87</v>
      </c>
      <c r="X35" s="70" t="s">
        <v>56</v>
      </c>
      <c r="Y35" s="70" t="s">
        <v>57</v>
      </c>
      <c r="Z35" s="70" t="s">
        <v>1154</v>
      </c>
      <c r="AA35" s="70" t="s">
        <v>1169</v>
      </c>
      <c r="AB35" s="70" t="s">
        <v>1207</v>
      </c>
    </row>
    <row r="36" spans="2:28" ht="15.6" thickBot="1">
      <c r="B36" s="82" t="s">
        <v>88</v>
      </c>
      <c r="C36" s="83"/>
      <c r="D36" s="83"/>
      <c r="E36" s="83"/>
      <c r="F36" s="83"/>
      <c r="G36" s="83"/>
      <c r="H36" s="83"/>
      <c r="I36" s="83"/>
      <c r="J36" s="83"/>
      <c r="K36" s="83"/>
      <c r="L36" s="83"/>
      <c r="M36" s="83"/>
      <c r="N36" s="82"/>
      <c r="O36" s="82"/>
      <c r="P36" s="82"/>
      <c r="Q36" s="82"/>
      <c r="R36" s="82"/>
      <c r="S36" s="82"/>
      <c r="T36" s="82"/>
      <c r="V36" s="82" t="s">
        <v>88</v>
      </c>
      <c r="W36" s="82"/>
      <c r="X36" s="82"/>
      <c r="Y36" s="82"/>
      <c r="Z36" s="82"/>
      <c r="AA36" s="82"/>
      <c r="AB36" s="82"/>
    </row>
    <row r="37" spans="2:28" ht="15.6" thickBot="1">
      <c r="B37" s="84" t="s">
        <v>89</v>
      </c>
      <c r="C37" s="85"/>
      <c r="D37" s="85"/>
      <c r="E37" s="85"/>
      <c r="F37" s="85"/>
      <c r="G37" s="85"/>
      <c r="H37" s="85"/>
      <c r="I37" s="85"/>
      <c r="J37" s="85"/>
      <c r="K37" s="85"/>
      <c r="L37" s="85"/>
      <c r="M37" s="85"/>
      <c r="N37" s="85"/>
      <c r="O37" s="85"/>
      <c r="P37" s="85"/>
      <c r="Q37" s="85"/>
      <c r="R37" s="85"/>
      <c r="S37" s="85"/>
      <c r="T37" s="85"/>
      <c r="V37" s="84" t="s">
        <v>89</v>
      </c>
      <c r="W37" s="85"/>
      <c r="X37" s="85"/>
      <c r="Y37" s="85"/>
      <c r="Z37" s="85"/>
      <c r="AA37" s="85"/>
      <c r="AB37" s="85"/>
    </row>
    <row r="38" spans="2:28" ht="16.2" thickBot="1">
      <c r="B38" s="86" t="s">
        <v>90</v>
      </c>
      <c r="C38" s="87">
        <v>254496</v>
      </c>
      <c r="D38" s="87">
        <v>361188</v>
      </c>
      <c r="E38" s="87">
        <v>315607</v>
      </c>
      <c r="F38" s="87">
        <v>403075</v>
      </c>
      <c r="G38" s="87">
        <v>590299</v>
      </c>
      <c r="H38" s="87">
        <v>433807</v>
      </c>
      <c r="I38" s="87">
        <v>524315</v>
      </c>
      <c r="J38" s="87">
        <v>721146</v>
      </c>
      <c r="K38" s="87">
        <v>460247</v>
      </c>
      <c r="L38" s="87">
        <v>541371</v>
      </c>
      <c r="M38" s="87">
        <v>409376</v>
      </c>
      <c r="N38" s="87">
        <v>1060187</v>
      </c>
      <c r="O38" s="87">
        <v>1068640</v>
      </c>
      <c r="P38" s="266">
        <v>542198</v>
      </c>
      <c r="Q38" s="266">
        <v>617764</v>
      </c>
      <c r="R38" s="266">
        <v>1492654</v>
      </c>
      <c r="S38" s="266">
        <v>1205650</v>
      </c>
      <c r="T38" s="266">
        <v>545837</v>
      </c>
      <c r="V38" s="86" t="s">
        <v>90</v>
      </c>
      <c r="W38" s="266">
        <v>914679</v>
      </c>
      <c r="X38" s="266">
        <v>1081699</v>
      </c>
      <c r="Y38" s="266">
        <v>963084</v>
      </c>
      <c r="Z38" s="266">
        <v>489038</v>
      </c>
      <c r="AA38" s="266">
        <v>523140.54580123996</v>
      </c>
      <c r="AB38" s="266">
        <v>337820.43901778996</v>
      </c>
    </row>
    <row r="39" spans="2:28" ht="16.2" thickBot="1">
      <c r="B39" s="86" t="s">
        <v>91</v>
      </c>
      <c r="C39" s="87">
        <v>24008</v>
      </c>
      <c r="D39" s="87">
        <v>41776</v>
      </c>
      <c r="E39" s="87">
        <v>246287</v>
      </c>
      <c r="F39" s="87">
        <v>35401</v>
      </c>
      <c r="G39" s="87">
        <v>51428</v>
      </c>
      <c r="H39" s="87">
        <v>50199</v>
      </c>
      <c r="I39" s="87">
        <v>454588</v>
      </c>
      <c r="J39" s="87">
        <v>77976</v>
      </c>
      <c r="K39" s="87">
        <v>69730</v>
      </c>
      <c r="L39" s="87">
        <v>121792</v>
      </c>
      <c r="M39" s="87">
        <v>244445</v>
      </c>
      <c r="N39" s="87">
        <v>113023</v>
      </c>
      <c r="O39" s="87">
        <v>60469</v>
      </c>
      <c r="P39" s="266">
        <v>158541</v>
      </c>
      <c r="Q39" s="266">
        <v>627422</v>
      </c>
      <c r="R39" s="266">
        <v>176312</v>
      </c>
      <c r="S39" s="266">
        <v>98033</v>
      </c>
      <c r="T39" s="266">
        <v>274909</v>
      </c>
      <c r="V39" s="86" t="s">
        <v>91</v>
      </c>
      <c r="W39" s="266">
        <v>310361</v>
      </c>
      <c r="X39" s="266">
        <v>185590</v>
      </c>
      <c r="Y39" s="266">
        <v>94954</v>
      </c>
      <c r="Z39" s="266">
        <v>288334</v>
      </c>
      <c r="AA39" s="266">
        <v>803842.2646254201</v>
      </c>
      <c r="AB39" s="266">
        <v>417321.32377954997</v>
      </c>
    </row>
    <row r="40" spans="2:28" ht="16.2" thickBot="1">
      <c r="B40" s="86" t="s">
        <v>92</v>
      </c>
      <c r="C40" s="87">
        <v>23231</v>
      </c>
      <c r="D40" s="87">
        <v>20897</v>
      </c>
      <c r="E40" s="87">
        <v>55187</v>
      </c>
      <c r="F40" s="87">
        <v>89400</v>
      </c>
      <c r="G40" s="87">
        <v>88092</v>
      </c>
      <c r="H40" s="87">
        <v>37166</v>
      </c>
      <c r="I40" s="87">
        <v>57401</v>
      </c>
      <c r="J40" s="87">
        <v>44712</v>
      </c>
      <c r="K40" s="87">
        <v>66939</v>
      </c>
      <c r="L40" s="87">
        <v>41135</v>
      </c>
      <c r="M40" s="87">
        <v>68907</v>
      </c>
      <c r="N40" s="87">
        <v>99916</v>
      </c>
      <c r="O40" s="87">
        <v>126282</v>
      </c>
      <c r="P40" s="266">
        <v>68105</v>
      </c>
      <c r="Q40" s="266">
        <v>98117</v>
      </c>
      <c r="R40" s="266">
        <v>126604</v>
      </c>
      <c r="S40" s="266">
        <v>153369</v>
      </c>
      <c r="T40" s="266">
        <v>71331</v>
      </c>
      <c r="V40" s="86" t="s">
        <v>92</v>
      </c>
      <c r="W40" s="266">
        <v>78279</v>
      </c>
      <c r="X40" s="266">
        <v>89043</v>
      </c>
      <c r="Y40" s="266">
        <v>101784</v>
      </c>
      <c r="Z40" s="266">
        <v>77468</v>
      </c>
      <c r="AA40" s="266">
        <v>86428.221146359996</v>
      </c>
      <c r="AB40" s="266">
        <v>99035.851860990006</v>
      </c>
    </row>
    <row r="41" spans="2:28" ht="16.2" thickBot="1">
      <c r="B41" s="86" t="s">
        <v>94</v>
      </c>
      <c r="C41" s="87">
        <v>18150</v>
      </c>
      <c r="D41" s="87">
        <v>7786</v>
      </c>
      <c r="E41" s="87">
        <v>9401</v>
      </c>
      <c r="F41" s="87">
        <v>19984</v>
      </c>
      <c r="G41" s="87">
        <v>17092</v>
      </c>
      <c r="H41" s="87">
        <v>15188</v>
      </c>
      <c r="I41" s="87">
        <v>13600</v>
      </c>
      <c r="J41" s="87">
        <v>10298</v>
      </c>
      <c r="K41" s="87">
        <v>13428</v>
      </c>
      <c r="L41" s="87">
        <v>7798</v>
      </c>
      <c r="M41" s="87">
        <v>21194</v>
      </c>
      <c r="N41" s="87">
        <v>14017</v>
      </c>
      <c r="O41" s="87">
        <v>20591</v>
      </c>
      <c r="P41" s="266">
        <v>12676</v>
      </c>
      <c r="Q41" s="266">
        <v>12054</v>
      </c>
      <c r="R41" s="266">
        <v>22986</v>
      </c>
      <c r="S41" s="266">
        <v>25172</v>
      </c>
      <c r="T41" s="266">
        <v>19436</v>
      </c>
      <c r="V41" s="86" t="s">
        <v>94</v>
      </c>
      <c r="W41" s="266">
        <v>23805</v>
      </c>
      <c r="X41" s="266">
        <v>19603</v>
      </c>
      <c r="Y41" s="266">
        <v>20260</v>
      </c>
      <c r="Z41" s="266">
        <v>34757</v>
      </c>
      <c r="AA41" s="266">
        <v>27308.01325448</v>
      </c>
      <c r="AB41" s="266">
        <v>32366.722371900003</v>
      </c>
    </row>
    <row r="42" spans="2:28" ht="16.2" thickBot="1">
      <c r="B42" s="86" t="s">
        <v>95</v>
      </c>
      <c r="C42" s="87">
        <v>38839</v>
      </c>
      <c r="D42" s="87">
        <v>210</v>
      </c>
      <c r="E42" s="87">
        <v>41275</v>
      </c>
      <c r="F42" s="87">
        <v>52291</v>
      </c>
      <c r="G42" s="87">
        <v>410</v>
      </c>
      <c r="H42" s="87">
        <v>407</v>
      </c>
      <c r="I42" s="87">
        <v>572</v>
      </c>
      <c r="J42" s="87">
        <v>1987</v>
      </c>
      <c r="K42" s="87">
        <v>913</v>
      </c>
      <c r="L42" s="87">
        <v>181</v>
      </c>
      <c r="M42" s="87">
        <v>2896</v>
      </c>
      <c r="N42" s="87">
        <v>6128</v>
      </c>
      <c r="O42" s="87">
        <v>9985</v>
      </c>
      <c r="P42" s="266">
        <v>6346</v>
      </c>
      <c r="Q42" s="266">
        <v>738</v>
      </c>
      <c r="R42" s="266">
        <v>0</v>
      </c>
      <c r="S42" s="266">
        <v>0</v>
      </c>
      <c r="T42" s="266">
        <v>0</v>
      </c>
      <c r="V42" s="86" t="s">
        <v>95</v>
      </c>
      <c r="W42" s="266">
        <v>0</v>
      </c>
      <c r="X42" s="266">
        <v>0</v>
      </c>
      <c r="Y42" s="266">
        <v>0</v>
      </c>
      <c r="Z42" s="266">
        <v>0</v>
      </c>
      <c r="AA42" s="266"/>
      <c r="AB42" s="266"/>
    </row>
    <row r="43" spans="2:28" ht="15.6" thickBot="1">
      <c r="B43" s="88" t="s">
        <v>96</v>
      </c>
      <c r="C43" s="89">
        <v>358724</v>
      </c>
      <c r="D43" s="89">
        <v>431857</v>
      </c>
      <c r="E43" s="89">
        <v>667757</v>
      </c>
      <c r="F43" s="89">
        <v>600151</v>
      </c>
      <c r="G43" s="89">
        <v>747321</v>
      </c>
      <c r="H43" s="89">
        <v>536767</v>
      </c>
      <c r="I43" s="89">
        <v>1050476</v>
      </c>
      <c r="J43" s="89">
        <v>856119</v>
      </c>
      <c r="K43" s="89">
        <v>611257</v>
      </c>
      <c r="L43" s="89">
        <v>712277</v>
      </c>
      <c r="M43" s="89">
        <v>746818</v>
      </c>
      <c r="N43" s="89">
        <v>1293271</v>
      </c>
      <c r="O43" s="89">
        <v>1285967</v>
      </c>
      <c r="P43" s="267">
        <f t="shared" ref="P43" si="16">SUM(P38:P42)</f>
        <v>787866</v>
      </c>
      <c r="Q43" s="267">
        <f t="shared" ref="Q43" si="17">SUM(Q38:Q42)</f>
        <v>1356095</v>
      </c>
      <c r="R43" s="267">
        <v>1818556</v>
      </c>
      <c r="S43" s="267">
        <f t="shared" ref="S43" si="18">SUM(S38:S42)</f>
        <v>1482224</v>
      </c>
      <c r="T43" s="267">
        <f t="shared" ref="T43" si="19">SUM(T38:T42)</f>
        <v>911513</v>
      </c>
      <c r="V43" s="88" t="s">
        <v>96</v>
      </c>
      <c r="W43" s="267">
        <v>1327124</v>
      </c>
      <c r="X43" s="267">
        <v>1375935</v>
      </c>
      <c r="Y43" s="267">
        <v>1180082</v>
      </c>
      <c r="Z43" s="267">
        <v>889597</v>
      </c>
      <c r="AA43" s="267">
        <v>1440719.0448275001</v>
      </c>
      <c r="AB43" s="267">
        <v>886544.33703022997</v>
      </c>
    </row>
    <row r="44" spans="2:28" ht="15.6" thickBot="1">
      <c r="B44" s="84" t="s">
        <v>97</v>
      </c>
      <c r="C44" s="85"/>
      <c r="D44" s="85"/>
      <c r="E44" s="85"/>
      <c r="F44" s="85"/>
      <c r="G44" s="85"/>
      <c r="H44" s="85"/>
      <c r="I44" s="85"/>
      <c r="J44" s="85"/>
      <c r="K44" s="85"/>
      <c r="L44" s="85"/>
      <c r="M44" s="85"/>
      <c r="N44" s="85"/>
      <c r="O44" s="85"/>
      <c r="P44" s="268"/>
      <c r="Q44" s="268"/>
      <c r="R44" s="268"/>
      <c r="S44" s="268"/>
      <c r="T44" s="268"/>
      <c r="V44" s="84" t="s">
        <v>97</v>
      </c>
      <c r="W44" s="268"/>
      <c r="X44" s="268">
        <v>0</v>
      </c>
      <c r="Y44" s="268"/>
      <c r="Z44" s="268"/>
      <c r="AA44" s="268"/>
      <c r="AB44" s="268"/>
    </row>
    <row r="45" spans="2:28" ht="16.2" thickBot="1">
      <c r="B45" s="86" t="s">
        <v>98</v>
      </c>
      <c r="C45" s="87">
        <v>20298</v>
      </c>
      <c r="D45" s="87">
        <v>16901</v>
      </c>
      <c r="E45" s="87">
        <v>13702</v>
      </c>
      <c r="F45" s="87">
        <v>12561</v>
      </c>
      <c r="G45" s="87">
        <v>10373</v>
      </c>
      <c r="H45" s="87">
        <v>10461</v>
      </c>
      <c r="I45" s="87">
        <v>12641</v>
      </c>
      <c r="J45" s="87">
        <v>13644</v>
      </c>
      <c r="K45" s="87">
        <v>12190</v>
      </c>
      <c r="L45" s="87">
        <v>11029</v>
      </c>
      <c r="M45" s="87">
        <v>11664</v>
      </c>
      <c r="N45" s="87">
        <v>10374</v>
      </c>
      <c r="O45" s="87">
        <v>9013</v>
      </c>
      <c r="P45" s="266">
        <v>8529</v>
      </c>
      <c r="Q45" s="266">
        <v>99998</v>
      </c>
      <c r="R45" s="266">
        <v>78674</v>
      </c>
      <c r="S45" s="266">
        <v>9919</v>
      </c>
      <c r="T45" s="266">
        <v>13120</v>
      </c>
      <c r="V45" s="86" t="s">
        <v>98</v>
      </c>
      <c r="W45" s="266">
        <v>14034</v>
      </c>
      <c r="X45" s="266">
        <v>10279</v>
      </c>
      <c r="Y45" s="266">
        <v>9911</v>
      </c>
      <c r="Z45" s="266">
        <v>8714</v>
      </c>
      <c r="AA45" s="266">
        <v>9314.8534909400005</v>
      </c>
      <c r="AB45" s="266">
        <v>9696.3329455200001</v>
      </c>
    </row>
    <row r="46" spans="2:28" ht="16.2" thickBot="1">
      <c r="B46" s="86" t="s">
        <v>99</v>
      </c>
      <c r="C46" s="87">
        <v>0</v>
      </c>
      <c r="D46" s="87">
        <v>44649</v>
      </c>
      <c r="E46" s="87">
        <v>44649</v>
      </c>
      <c r="F46" s="87">
        <v>44649</v>
      </c>
      <c r="G46" s="87">
        <v>44649</v>
      </c>
      <c r="H46" s="87">
        <v>24955</v>
      </c>
      <c r="I46" s="87">
        <v>25449</v>
      </c>
      <c r="J46" s="87">
        <v>23993</v>
      </c>
      <c r="K46" s="87">
        <v>28677</v>
      </c>
      <c r="L46" s="87">
        <v>1405</v>
      </c>
      <c r="M46" s="87">
        <v>8927</v>
      </c>
      <c r="N46" s="87">
        <v>16307</v>
      </c>
      <c r="O46" s="87">
        <v>21020</v>
      </c>
      <c r="P46" s="266">
        <v>1023</v>
      </c>
      <c r="Q46" s="266">
        <v>7045</v>
      </c>
      <c r="R46" s="266">
        <v>10985</v>
      </c>
      <c r="S46" s="266">
        <v>15579</v>
      </c>
      <c r="T46" s="266">
        <v>679</v>
      </c>
      <c r="V46" s="86" t="s">
        <v>99</v>
      </c>
      <c r="W46" s="266">
        <v>8269</v>
      </c>
      <c r="X46" s="266">
        <v>13568</v>
      </c>
      <c r="Y46" s="266">
        <v>19640</v>
      </c>
      <c r="Z46" s="266">
        <v>301</v>
      </c>
      <c r="AA46" s="266">
        <v>26009.353799910001</v>
      </c>
      <c r="AB46" s="266">
        <v>90.509785069999992</v>
      </c>
    </row>
    <row r="47" spans="2:28" ht="30.6" thickBot="1">
      <c r="B47" s="86" t="s">
        <v>150</v>
      </c>
      <c r="C47" s="87">
        <v>8056601</v>
      </c>
      <c r="D47" s="87">
        <v>10216170</v>
      </c>
      <c r="E47" s="87">
        <v>9530390</v>
      </c>
      <c r="F47" s="87">
        <v>9461072</v>
      </c>
      <c r="G47" s="87">
        <v>9802592</v>
      </c>
      <c r="H47" s="87">
        <v>11013197</v>
      </c>
      <c r="I47" s="87">
        <v>10732696</v>
      </c>
      <c r="J47" s="87">
        <v>11183637</v>
      </c>
      <c r="K47" s="87">
        <v>11593893</v>
      </c>
      <c r="L47" s="87">
        <v>11224367</v>
      </c>
      <c r="M47" s="87">
        <v>11933040</v>
      </c>
      <c r="N47" s="87">
        <v>11150959</v>
      </c>
      <c r="O47" s="87">
        <v>11852674</v>
      </c>
      <c r="P47" s="266">
        <v>11435299</v>
      </c>
      <c r="Q47" s="266">
        <v>11743622</v>
      </c>
      <c r="R47" s="266">
        <v>12598674</v>
      </c>
      <c r="S47" s="266">
        <v>12219187</v>
      </c>
      <c r="T47" s="266">
        <v>12504610</v>
      </c>
      <c r="V47" s="86" t="s">
        <v>150</v>
      </c>
      <c r="W47" s="266">
        <v>12810091</v>
      </c>
      <c r="X47" s="266">
        <v>13322971</v>
      </c>
      <c r="Y47" s="266">
        <v>14625215</v>
      </c>
      <c r="Z47" s="266">
        <v>16294124</v>
      </c>
      <c r="AA47" s="266">
        <v>16273290.349731</v>
      </c>
      <c r="AB47" s="266">
        <v>15740007.473215099</v>
      </c>
    </row>
    <row r="48" spans="2:28" ht="16.2" thickBot="1">
      <c r="B48" s="86" t="s">
        <v>151</v>
      </c>
      <c r="C48" s="87">
        <v>12528</v>
      </c>
      <c r="D48" s="87">
        <v>12528</v>
      </c>
      <c r="E48" s="87">
        <v>12528</v>
      </c>
      <c r="F48" s="87">
        <v>12524</v>
      </c>
      <c r="G48" s="87">
        <v>12524</v>
      </c>
      <c r="H48" s="87">
        <v>12524</v>
      </c>
      <c r="I48" s="87">
        <v>12524</v>
      </c>
      <c r="J48" s="87">
        <v>12524</v>
      </c>
      <c r="K48" s="87">
        <v>12524</v>
      </c>
      <c r="L48" s="87">
        <v>12524</v>
      </c>
      <c r="M48" s="87">
        <v>12524</v>
      </c>
      <c r="N48" s="87">
        <v>12524</v>
      </c>
      <c r="O48" s="87">
        <v>12524</v>
      </c>
      <c r="P48" s="266">
        <v>12524</v>
      </c>
      <c r="Q48" s="266">
        <v>12524</v>
      </c>
      <c r="R48" s="266">
        <v>12524</v>
      </c>
      <c r="S48" s="266">
        <v>12524</v>
      </c>
      <c r="T48" s="266">
        <v>12524</v>
      </c>
      <c r="V48" s="86" t="s">
        <v>151</v>
      </c>
      <c r="W48" s="266">
        <v>13795</v>
      </c>
      <c r="X48" s="266">
        <v>13953</v>
      </c>
      <c r="Y48" s="266">
        <v>13914</v>
      </c>
      <c r="Z48" s="266">
        <v>13811</v>
      </c>
      <c r="AA48" s="266">
        <v>13913.347683940001</v>
      </c>
      <c r="AB48" s="266">
        <v>13727.54285308</v>
      </c>
    </row>
    <row r="49" spans="2:28" ht="16.2" thickBot="1">
      <c r="B49" s="86" t="s">
        <v>91</v>
      </c>
      <c r="C49" s="87">
        <v>6350</v>
      </c>
      <c r="D49" s="87">
        <v>13629</v>
      </c>
      <c r="E49" s="87">
        <v>14315</v>
      </c>
      <c r="F49" s="87">
        <v>15069</v>
      </c>
      <c r="G49" s="87">
        <v>16013</v>
      </c>
      <c r="H49" s="87">
        <v>15621</v>
      </c>
      <c r="I49" s="87">
        <v>16688</v>
      </c>
      <c r="J49" s="87">
        <v>16934</v>
      </c>
      <c r="K49" s="87">
        <v>17416</v>
      </c>
      <c r="L49" s="87">
        <v>17475</v>
      </c>
      <c r="M49" s="87">
        <v>17502</v>
      </c>
      <c r="N49" s="87">
        <v>17446</v>
      </c>
      <c r="O49" s="87">
        <v>18052</v>
      </c>
      <c r="P49" s="266">
        <v>18346</v>
      </c>
      <c r="Q49" s="266">
        <v>19342</v>
      </c>
      <c r="R49" s="266">
        <v>19218</v>
      </c>
      <c r="S49" s="266">
        <v>22110</v>
      </c>
      <c r="T49" s="266">
        <v>23116</v>
      </c>
      <c r="V49" s="86" t="s">
        <v>91</v>
      </c>
      <c r="W49" s="266">
        <v>21826</v>
      </c>
      <c r="X49" s="266">
        <v>22508</v>
      </c>
      <c r="Y49" s="266">
        <v>25088</v>
      </c>
      <c r="Z49" s="266">
        <v>27363</v>
      </c>
      <c r="AA49" s="266">
        <v>28367.973472639998</v>
      </c>
      <c r="AB49" s="266">
        <v>29832.764945439998</v>
      </c>
    </row>
    <row r="50" spans="2:28" ht="16.2" thickBot="1">
      <c r="B50" s="86" t="s">
        <v>102</v>
      </c>
      <c r="C50" s="87">
        <v>0</v>
      </c>
      <c r="D50" s="87">
        <v>0</v>
      </c>
      <c r="E50" s="87">
        <v>0</v>
      </c>
      <c r="F50" s="87">
        <v>0</v>
      </c>
      <c r="G50" s="87">
        <v>0</v>
      </c>
      <c r="H50" s="87">
        <v>0</v>
      </c>
      <c r="I50" s="87">
        <v>0</v>
      </c>
      <c r="J50" s="87">
        <v>0</v>
      </c>
      <c r="K50" s="87">
        <v>0</v>
      </c>
      <c r="L50" s="87">
        <v>0</v>
      </c>
      <c r="M50" s="87">
        <v>0</v>
      </c>
      <c r="N50" s="87">
        <v>0</v>
      </c>
      <c r="O50" s="87">
        <v>0</v>
      </c>
      <c r="P50" s="266">
        <v>0</v>
      </c>
      <c r="Q50" s="266">
        <v>0</v>
      </c>
      <c r="R50" s="266">
        <v>0</v>
      </c>
      <c r="S50" s="266">
        <v>0</v>
      </c>
      <c r="T50" s="266"/>
      <c r="V50" s="86" t="s">
        <v>102</v>
      </c>
      <c r="W50" s="266">
        <v>0</v>
      </c>
      <c r="X50" s="266">
        <v>0</v>
      </c>
      <c r="Y50" s="266">
        <v>0</v>
      </c>
      <c r="Z50" s="266">
        <v>0</v>
      </c>
      <c r="AA50" s="266">
        <v>-8.0000000000000007E-7</v>
      </c>
      <c r="AB50" s="266">
        <v>-8.0000000000000007E-7</v>
      </c>
    </row>
    <row r="51" spans="2:28" ht="16.2" thickBot="1">
      <c r="B51" s="86" t="s">
        <v>103</v>
      </c>
      <c r="C51" s="87">
        <v>5066863</v>
      </c>
      <c r="D51" s="87">
        <v>5683964</v>
      </c>
      <c r="E51" s="87">
        <v>5835660</v>
      </c>
      <c r="F51" s="87">
        <v>5930332</v>
      </c>
      <c r="G51" s="87">
        <v>6084789</v>
      </c>
      <c r="H51" s="87">
        <v>6211045</v>
      </c>
      <c r="I51" s="87">
        <v>6287331</v>
      </c>
      <c r="J51" s="87">
        <v>6374734</v>
      </c>
      <c r="K51" s="87">
        <v>6480169</v>
      </c>
      <c r="L51" s="87">
        <v>6667921</v>
      </c>
      <c r="M51" s="87">
        <v>6797606</v>
      </c>
      <c r="N51" s="87">
        <v>6876688</v>
      </c>
      <c r="O51" s="87">
        <v>6981007</v>
      </c>
      <c r="P51" s="266">
        <v>7171938</v>
      </c>
      <c r="Q51" s="266">
        <v>7226974</v>
      </c>
      <c r="R51" s="266">
        <v>7249023</v>
      </c>
      <c r="S51" s="266">
        <v>7303109</v>
      </c>
      <c r="T51" s="266">
        <v>7407001</v>
      </c>
      <c r="V51" s="86" t="s">
        <v>103</v>
      </c>
      <c r="W51" s="266">
        <v>7469551</v>
      </c>
      <c r="X51" s="266">
        <v>7564105</v>
      </c>
      <c r="Y51" s="266">
        <v>7652252</v>
      </c>
      <c r="Z51" s="266">
        <v>7974005</v>
      </c>
      <c r="AA51" s="266">
        <v>8160088.1760477694</v>
      </c>
      <c r="AB51" s="266">
        <v>8271110.4190827198</v>
      </c>
    </row>
    <row r="52" spans="2:28" ht="16.2" thickBot="1">
      <c r="B52" s="86" t="s">
        <v>104</v>
      </c>
      <c r="C52" s="87">
        <v>7803</v>
      </c>
      <c r="D52" s="87">
        <v>7720</v>
      </c>
      <c r="E52" s="87">
        <v>7699</v>
      </c>
      <c r="F52" s="87">
        <v>7678</v>
      </c>
      <c r="G52" s="87">
        <v>7658</v>
      </c>
      <c r="H52" s="87">
        <v>7936</v>
      </c>
      <c r="I52" s="87">
        <v>7914</v>
      </c>
      <c r="J52" s="87">
        <v>7892</v>
      </c>
      <c r="K52" s="87">
        <v>7870</v>
      </c>
      <c r="L52" s="87">
        <v>7848</v>
      </c>
      <c r="M52" s="87">
        <v>7826</v>
      </c>
      <c r="N52" s="87">
        <v>7804</v>
      </c>
      <c r="O52" s="87">
        <v>7783</v>
      </c>
      <c r="P52" s="266">
        <v>7761</v>
      </c>
      <c r="Q52" s="266">
        <v>7739</v>
      </c>
      <c r="R52" s="266">
        <v>7717</v>
      </c>
      <c r="S52" s="266">
        <v>7695</v>
      </c>
      <c r="T52" s="266">
        <v>7673</v>
      </c>
      <c r="V52" s="86" t="s">
        <v>104</v>
      </c>
      <c r="W52" s="266">
        <v>7651</v>
      </c>
      <c r="X52" s="266">
        <v>7630</v>
      </c>
      <c r="Y52" s="266">
        <v>7608</v>
      </c>
      <c r="Z52" s="266">
        <v>7586</v>
      </c>
      <c r="AA52" s="266">
        <v>7564.0776121199997</v>
      </c>
      <c r="AB52" s="266">
        <v>7542.2258081199998</v>
      </c>
    </row>
    <row r="53" spans="2:28" ht="16.2" thickBot="1">
      <c r="B53" s="86" t="s">
        <v>106</v>
      </c>
      <c r="C53" s="87">
        <v>100716</v>
      </c>
      <c r="D53" s="87">
        <v>102263</v>
      </c>
      <c r="E53" s="87">
        <v>103689</v>
      </c>
      <c r="F53" s="87">
        <v>131067</v>
      </c>
      <c r="G53" s="87">
        <v>132314</v>
      </c>
      <c r="H53" s="87">
        <v>122692</v>
      </c>
      <c r="I53" s="87">
        <v>122010</v>
      </c>
      <c r="J53" s="87">
        <v>139118</v>
      </c>
      <c r="K53" s="87">
        <v>141132</v>
      </c>
      <c r="L53" s="87">
        <v>157983</v>
      </c>
      <c r="M53" s="87">
        <v>157003</v>
      </c>
      <c r="N53" s="87">
        <v>157771</v>
      </c>
      <c r="O53" s="87">
        <v>124695</v>
      </c>
      <c r="P53" s="266">
        <v>156725</v>
      </c>
      <c r="Q53" s="266">
        <v>155939</v>
      </c>
      <c r="R53" s="266">
        <v>209543</v>
      </c>
      <c r="S53" s="266">
        <v>210760</v>
      </c>
      <c r="T53" s="266">
        <v>212532</v>
      </c>
      <c r="V53" s="86" t="s">
        <v>106</v>
      </c>
      <c r="W53" s="266">
        <v>173347</v>
      </c>
      <c r="X53" s="266">
        <v>212904</v>
      </c>
      <c r="Y53" s="266">
        <v>231054</v>
      </c>
      <c r="Z53" s="266">
        <v>276223</v>
      </c>
      <c r="AA53" s="266">
        <v>275001.35454012</v>
      </c>
      <c r="AB53" s="266">
        <v>274074.03703457001</v>
      </c>
    </row>
    <row r="54" spans="2:28" ht="16.2" thickBot="1">
      <c r="B54" s="86" t="s">
        <v>94</v>
      </c>
      <c r="C54" s="87">
        <v>1300</v>
      </c>
      <c r="D54" s="87">
        <v>1200</v>
      </c>
      <c r="E54" s="87">
        <v>1175</v>
      </c>
      <c r="F54" s="87">
        <v>1150</v>
      </c>
      <c r="G54" s="87">
        <v>1125</v>
      </c>
      <c r="H54" s="87">
        <v>1100</v>
      </c>
      <c r="I54" s="87">
        <v>1075</v>
      </c>
      <c r="J54" s="87">
        <v>1050</v>
      </c>
      <c r="K54" s="87">
        <v>1025</v>
      </c>
      <c r="L54" s="87">
        <v>1000</v>
      </c>
      <c r="M54" s="87">
        <v>975</v>
      </c>
      <c r="N54" s="87">
        <v>950</v>
      </c>
      <c r="O54" s="87">
        <v>925</v>
      </c>
      <c r="P54" s="266">
        <v>900</v>
      </c>
      <c r="Q54" s="266">
        <v>875</v>
      </c>
      <c r="R54" s="266">
        <v>850</v>
      </c>
      <c r="S54" s="266">
        <v>825</v>
      </c>
      <c r="T54" s="266">
        <v>800</v>
      </c>
      <c r="V54" s="86" t="s">
        <v>94</v>
      </c>
      <c r="W54" s="266">
        <v>775</v>
      </c>
      <c r="X54" s="266">
        <v>750</v>
      </c>
      <c r="Y54" s="266">
        <v>725</v>
      </c>
      <c r="Z54" s="266">
        <v>717</v>
      </c>
      <c r="AA54" s="266">
        <v>675.00000086</v>
      </c>
      <c r="AB54" s="266">
        <v>650.00000083000009</v>
      </c>
    </row>
    <row r="55" spans="2:28" ht="16.2" thickBot="1">
      <c r="B55" s="86" t="s">
        <v>107</v>
      </c>
      <c r="C55" s="87">
        <v>0</v>
      </c>
      <c r="D55" s="87">
        <v>0</v>
      </c>
      <c r="E55" s="87">
        <v>0</v>
      </c>
      <c r="F55" s="87">
        <v>0</v>
      </c>
      <c r="G55" s="87">
        <v>0</v>
      </c>
      <c r="H55" s="87">
        <v>0</v>
      </c>
      <c r="I55" s="87">
        <v>0</v>
      </c>
      <c r="J55" s="87">
        <v>0</v>
      </c>
      <c r="K55" s="87">
        <v>0</v>
      </c>
      <c r="L55" s="87">
        <v>0</v>
      </c>
      <c r="M55" s="87">
        <v>0</v>
      </c>
      <c r="N55" s="87">
        <v>0</v>
      </c>
      <c r="O55" s="87">
        <v>0</v>
      </c>
      <c r="P55" s="266">
        <v>0</v>
      </c>
      <c r="Q55" s="266">
        <v>0</v>
      </c>
      <c r="R55" s="266">
        <v>0</v>
      </c>
      <c r="S55" s="266">
        <v>0</v>
      </c>
      <c r="T55" s="266"/>
      <c r="V55" s="86" t="s">
        <v>107</v>
      </c>
      <c r="W55" s="266">
        <v>0</v>
      </c>
      <c r="X55" s="266">
        <v>0</v>
      </c>
      <c r="Y55" s="266">
        <v>0</v>
      </c>
      <c r="Z55" s="266">
        <v>0</v>
      </c>
      <c r="AA55" s="266"/>
      <c r="AB55" s="266"/>
    </row>
    <row r="56" spans="2:28" ht="16.2" thickBot="1">
      <c r="B56" s="86" t="s">
        <v>108</v>
      </c>
      <c r="C56" s="87">
        <v>0</v>
      </c>
      <c r="D56" s="87">
        <v>0</v>
      </c>
      <c r="E56" s="87">
        <v>0</v>
      </c>
      <c r="F56" s="87">
        <v>0</v>
      </c>
      <c r="G56" s="87">
        <v>0</v>
      </c>
      <c r="H56" s="87">
        <v>0</v>
      </c>
      <c r="I56" s="87">
        <v>6549</v>
      </c>
      <c r="J56" s="87">
        <v>7219</v>
      </c>
      <c r="K56" s="87">
        <v>6909</v>
      </c>
      <c r="L56" s="87">
        <v>0</v>
      </c>
      <c r="M56" s="87">
        <v>0</v>
      </c>
      <c r="N56" s="87">
        <v>0</v>
      </c>
      <c r="O56" s="87">
        <v>21615</v>
      </c>
      <c r="P56" s="266">
        <v>14945</v>
      </c>
      <c r="Q56" s="266">
        <v>14227</v>
      </c>
      <c r="R56" s="266">
        <v>0</v>
      </c>
      <c r="S56" s="266">
        <v>0</v>
      </c>
      <c r="T56" s="266"/>
      <c r="V56" s="86" t="s">
        <v>108</v>
      </c>
      <c r="W56" s="266">
        <v>0</v>
      </c>
      <c r="X56" s="266">
        <v>0</v>
      </c>
      <c r="Y56" s="266">
        <v>0</v>
      </c>
      <c r="Z56" s="266">
        <v>0</v>
      </c>
      <c r="AA56" s="266"/>
      <c r="AB56" s="266"/>
    </row>
    <row r="57" spans="2:28" ht="16.2" thickBot="1">
      <c r="B57" s="86" t="s">
        <v>95</v>
      </c>
      <c r="C57" s="87">
        <v>209449</v>
      </c>
      <c r="D57" s="87">
        <v>195628</v>
      </c>
      <c r="E57" s="87">
        <v>182285</v>
      </c>
      <c r="F57" s="87">
        <v>190722</v>
      </c>
      <c r="G57" s="87">
        <v>135199</v>
      </c>
      <c r="H57" s="87">
        <v>147825</v>
      </c>
      <c r="I57" s="87">
        <v>103365</v>
      </c>
      <c r="J57" s="87">
        <v>104370</v>
      </c>
      <c r="K57" s="87">
        <v>101523</v>
      </c>
      <c r="L57" s="87">
        <v>96102</v>
      </c>
      <c r="M57" s="87">
        <v>313227</v>
      </c>
      <c r="N57" s="87">
        <v>289657</v>
      </c>
      <c r="O57" s="87">
        <v>298904</v>
      </c>
      <c r="P57" s="266">
        <v>187208</v>
      </c>
      <c r="Q57" s="266">
        <v>212146</v>
      </c>
      <c r="R57" s="266">
        <v>0</v>
      </c>
      <c r="S57" s="266">
        <v>0</v>
      </c>
      <c r="T57" s="266">
        <v>0</v>
      </c>
      <c r="V57" s="86" t="s">
        <v>95</v>
      </c>
      <c r="W57" s="266">
        <v>0</v>
      </c>
      <c r="X57" s="266">
        <v>0</v>
      </c>
      <c r="Y57" s="266">
        <v>0</v>
      </c>
      <c r="Z57" s="266">
        <v>0</v>
      </c>
      <c r="AA57" s="266"/>
      <c r="AB57" s="266"/>
    </row>
    <row r="58" spans="2:28" ht="16.2" thickBot="1">
      <c r="B58" s="84" t="s">
        <v>110</v>
      </c>
      <c r="C58" s="90">
        <v>13481908</v>
      </c>
      <c r="D58" s="90">
        <v>16294652</v>
      </c>
      <c r="E58" s="90">
        <v>15746092</v>
      </c>
      <c r="F58" s="90">
        <v>15806824</v>
      </c>
      <c r="G58" s="90">
        <v>16247236</v>
      </c>
      <c r="H58" s="90">
        <v>17567356</v>
      </c>
      <c r="I58" s="91">
        <f>SUM(I45:I57)</f>
        <v>17328242</v>
      </c>
      <c r="J58" s="91">
        <f>SUM(J45:J57)</f>
        <v>17885115</v>
      </c>
      <c r="K58" s="91">
        <f>SUM(K45:K57)</f>
        <v>18403328</v>
      </c>
      <c r="L58" s="90">
        <v>18197654</v>
      </c>
      <c r="M58" s="90">
        <v>19260294</v>
      </c>
      <c r="N58" s="90">
        <v>18540480</v>
      </c>
      <c r="O58" s="90">
        <v>19348212</v>
      </c>
      <c r="P58" s="269">
        <f t="shared" ref="P58" si="20">SUM(P45:P57)</f>
        <v>19015198</v>
      </c>
      <c r="Q58" s="269">
        <f t="shared" ref="Q58" si="21">SUM(Q45:Q57)</f>
        <v>19500431</v>
      </c>
      <c r="R58" s="269">
        <v>20187208</v>
      </c>
      <c r="S58" s="269">
        <f t="shared" ref="S58" si="22">SUM(S45:S57)</f>
        <v>19801708</v>
      </c>
      <c r="T58" s="269">
        <f t="shared" ref="T58" si="23">SUM(T45:T57)</f>
        <v>20182055</v>
      </c>
      <c r="V58" s="84" t="s">
        <v>110</v>
      </c>
      <c r="W58" s="269">
        <v>20519339</v>
      </c>
      <c r="X58" s="269">
        <v>21168668</v>
      </c>
      <c r="Y58" s="269">
        <v>22585407</v>
      </c>
      <c r="Z58" s="269">
        <v>24602844</v>
      </c>
      <c r="AA58" s="269">
        <v>24794224.486378502</v>
      </c>
      <c r="AB58" s="269">
        <v>24346731.305669654</v>
      </c>
    </row>
    <row r="59" spans="2:28" ht="16.2" thickBot="1">
      <c r="B59" s="92" t="s">
        <v>111</v>
      </c>
      <c r="C59" s="93">
        <v>13840632</v>
      </c>
      <c r="D59" s="93">
        <v>16726509</v>
      </c>
      <c r="E59" s="93">
        <v>16413849</v>
      </c>
      <c r="F59" s="93">
        <v>16406975</v>
      </c>
      <c r="G59" s="93">
        <v>16994557</v>
      </c>
      <c r="H59" s="93">
        <v>18104123</v>
      </c>
      <c r="I59" s="94">
        <f>+I58+I43</f>
        <v>18378718</v>
      </c>
      <c r="J59" s="94">
        <f>+J58+J43</f>
        <v>18741234</v>
      </c>
      <c r="K59" s="94">
        <f>+K58+K43</f>
        <v>19014585</v>
      </c>
      <c r="L59" s="93">
        <v>18909931</v>
      </c>
      <c r="M59" s="93">
        <v>20007112</v>
      </c>
      <c r="N59" s="93">
        <v>19833751</v>
      </c>
      <c r="O59" s="93">
        <v>20634179</v>
      </c>
      <c r="P59" s="270">
        <f t="shared" ref="P59:Q59" si="24">+P43+P58</f>
        <v>19803064</v>
      </c>
      <c r="Q59" s="270">
        <f t="shared" si="24"/>
        <v>20856526</v>
      </c>
      <c r="R59" s="270">
        <v>22005764</v>
      </c>
      <c r="S59" s="270">
        <f t="shared" ref="S59:T59" si="25">+S43+S58</f>
        <v>21283932</v>
      </c>
      <c r="T59" s="270">
        <f t="shared" si="25"/>
        <v>21093568</v>
      </c>
      <c r="V59" s="92" t="s">
        <v>111</v>
      </c>
      <c r="W59" s="270">
        <v>21846463</v>
      </c>
      <c r="X59" s="270">
        <v>22544603</v>
      </c>
      <c r="Y59" s="270">
        <v>23765489</v>
      </c>
      <c r="Z59" s="270">
        <v>25492441</v>
      </c>
      <c r="AA59" s="270">
        <v>26234943.531206001</v>
      </c>
      <c r="AB59" s="270">
        <v>25233275.642699882</v>
      </c>
    </row>
    <row r="60" spans="2:28" ht="15.6" thickBot="1">
      <c r="B60" s="95"/>
      <c r="C60" s="96"/>
      <c r="D60" s="96"/>
      <c r="E60" s="96"/>
      <c r="F60" s="96"/>
      <c r="G60" s="96"/>
      <c r="H60" s="96"/>
      <c r="I60" s="96"/>
      <c r="J60" s="96"/>
      <c r="K60" s="96"/>
      <c r="L60" s="96"/>
      <c r="M60" s="96"/>
      <c r="N60" s="96"/>
      <c r="O60" s="96"/>
      <c r="P60" s="274"/>
      <c r="S60" s="274"/>
      <c r="T60" s="274"/>
      <c r="V60" s="95"/>
      <c r="W60" s="274">
        <v>0</v>
      </c>
      <c r="X60" s="274">
        <v>0</v>
      </c>
      <c r="Y60" s="274">
        <v>0</v>
      </c>
      <c r="Z60" s="274"/>
      <c r="AA60" s="274"/>
      <c r="AB60" s="274"/>
    </row>
    <row r="61" spans="2:28" ht="15.6" thickBot="1">
      <c r="B61" s="82" t="s">
        <v>112</v>
      </c>
      <c r="C61" s="97"/>
      <c r="D61" s="97"/>
      <c r="E61" s="97"/>
      <c r="F61" s="97"/>
      <c r="G61" s="97"/>
      <c r="H61" s="97"/>
      <c r="I61" s="97"/>
      <c r="J61" s="97"/>
      <c r="K61" s="97"/>
      <c r="L61" s="97"/>
      <c r="M61" s="97"/>
      <c r="N61" s="97"/>
      <c r="O61" s="97"/>
      <c r="P61" s="271"/>
      <c r="Q61" s="271"/>
      <c r="R61" s="271"/>
      <c r="S61" s="271"/>
      <c r="T61" s="271"/>
      <c r="V61" s="82" t="s">
        <v>112</v>
      </c>
      <c r="W61" s="271"/>
      <c r="X61" s="271"/>
      <c r="Y61" s="271"/>
      <c r="Z61" s="271"/>
      <c r="AA61" s="271"/>
      <c r="AB61" s="271"/>
    </row>
    <row r="62" spans="2:28" ht="15.6" thickBot="1">
      <c r="B62" s="84" t="s">
        <v>113</v>
      </c>
      <c r="C62" s="98"/>
      <c r="D62" s="98"/>
      <c r="E62" s="98"/>
      <c r="F62" s="98"/>
      <c r="G62" s="98"/>
      <c r="H62" s="98"/>
      <c r="I62" s="98"/>
      <c r="J62" s="98"/>
      <c r="K62" s="98"/>
      <c r="L62" s="98"/>
      <c r="M62" s="98"/>
      <c r="N62" s="98"/>
      <c r="O62" s="98"/>
      <c r="P62" s="272"/>
      <c r="Q62" s="272"/>
      <c r="R62" s="272"/>
      <c r="S62" s="272"/>
      <c r="T62" s="272"/>
      <c r="V62" s="84" t="s">
        <v>113</v>
      </c>
      <c r="W62" s="272"/>
      <c r="X62" s="272"/>
      <c r="Y62" s="272"/>
      <c r="Z62" s="272"/>
      <c r="AA62" s="272"/>
      <c r="AB62" s="272"/>
    </row>
    <row r="63" spans="2:28" ht="16.2" thickBot="1">
      <c r="B63" s="86" t="s">
        <v>114</v>
      </c>
      <c r="C63" s="87">
        <v>146843</v>
      </c>
      <c r="D63" s="87">
        <v>113155</v>
      </c>
      <c r="E63" s="87">
        <v>151747</v>
      </c>
      <c r="F63" s="87">
        <v>130979</v>
      </c>
      <c r="G63" s="87">
        <v>151971</v>
      </c>
      <c r="H63" s="87">
        <v>137339</v>
      </c>
      <c r="I63" s="87">
        <v>152898</v>
      </c>
      <c r="J63" s="87">
        <v>169407</v>
      </c>
      <c r="K63" s="87">
        <v>189054</v>
      </c>
      <c r="L63" s="87">
        <v>214786</v>
      </c>
      <c r="M63" s="87">
        <v>232772</v>
      </c>
      <c r="N63" s="87">
        <v>207416</v>
      </c>
      <c r="O63" s="87">
        <v>219519</v>
      </c>
      <c r="P63" s="266">
        <v>151393</v>
      </c>
      <c r="Q63" s="266">
        <v>165505</v>
      </c>
      <c r="R63" s="266">
        <v>276306</v>
      </c>
      <c r="S63" s="266">
        <v>285445</v>
      </c>
      <c r="T63" s="266">
        <v>158139</v>
      </c>
      <c r="V63" s="86" t="s">
        <v>114</v>
      </c>
      <c r="W63" s="266">
        <v>191195</v>
      </c>
      <c r="X63" s="266">
        <v>63954</v>
      </c>
      <c r="Y63" s="266">
        <v>92316</v>
      </c>
      <c r="Z63" s="266">
        <v>258214</v>
      </c>
      <c r="AA63" s="266">
        <v>407957.95227022999</v>
      </c>
      <c r="AB63" s="266">
        <v>655259.69476619991</v>
      </c>
    </row>
    <row r="64" spans="2:28" ht="16.2" thickBot="1">
      <c r="B64" s="86" t="s">
        <v>115</v>
      </c>
      <c r="C64" s="87">
        <v>70525</v>
      </c>
      <c r="D64" s="87">
        <v>120476</v>
      </c>
      <c r="E64" s="87">
        <v>702081</v>
      </c>
      <c r="F64" s="87">
        <v>669247</v>
      </c>
      <c r="G64" s="87">
        <v>365951</v>
      </c>
      <c r="H64" s="87">
        <v>90486</v>
      </c>
      <c r="I64" s="87">
        <v>672446</v>
      </c>
      <c r="J64" s="87">
        <v>722891</v>
      </c>
      <c r="K64" s="87">
        <v>363131</v>
      </c>
      <c r="L64" s="87">
        <v>110314</v>
      </c>
      <c r="M64" s="87">
        <v>836712</v>
      </c>
      <c r="N64" s="87">
        <v>796245</v>
      </c>
      <c r="O64" s="87">
        <v>441251</v>
      </c>
      <c r="P64" s="266">
        <v>111643</v>
      </c>
      <c r="Q64" s="266">
        <v>1509526</v>
      </c>
      <c r="R64" s="266">
        <v>1527771</v>
      </c>
      <c r="S64" s="266">
        <f>796294+1</f>
        <v>796295</v>
      </c>
      <c r="T64" s="266">
        <v>183100</v>
      </c>
      <c r="V64" s="86" t="s">
        <v>115</v>
      </c>
      <c r="W64" s="266">
        <v>991493</v>
      </c>
      <c r="X64" s="266">
        <v>983023</v>
      </c>
      <c r="Y64" s="266">
        <v>588226</v>
      </c>
      <c r="Z64" s="266">
        <v>181466</v>
      </c>
      <c r="AA64" s="266">
        <v>2049893.5924501899</v>
      </c>
      <c r="AB64" s="266">
        <v>1107845.2931542199</v>
      </c>
    </row>
    <row r="65" spans="2:28" ht="16.2" thickBot="1">
      <c r="B65" s="86" t="s">
        <v>117</v>
      </c>
      <c r="C65" s="87">
        <v>7387</v>
      </c>
      <c r="D65" s="87">
        <v>10159</v>
      </c>
      <c r="E65" s="87">
        <v>6589</v>
      </c>
      <c r="F65" s="87">
        <v>6947</v>
      </c>
      <c r="G65" s="87">
        <v>9175</v>
      </c>
      <c r="H65" s="87">
        <v>8405</v>
      </c>
      <c r="I65" s="87">
        <v>8346</v>
      </c>
      <c r="J65" s="87">
        <v>7357</v>
      </c>
      <c r="K65" s="87">
        <v>10434</v>
      </c>
      <c r="L65" s="87">
        <v>11689</v>
      </c>
      <c r="M65" s="87">
        <v>10529</v>
      </c>
      <c r="N65" s="87">
        <v>9821</v>
      </c>
      <c r="O65" s="87">
        <v>13886</v>
      </c>
      <c r="P65" s="266">
        <v>14041</v>
      </c>
      <c r="Q65" s="266">
        <v>12995</v>
      </c>
      <c r="R65" s="266">
        <v>11491</v>
      </c>
      <c r="S65" s="266">
        <v>13879</v>
      </c>
      <c r="T65" s="266">
        <v>13051</v>
      </c>
      <c r="V65" s="86" t="s">
        <v>117</v>
      </c>
      <c r="W65" s="266">
        <v>11752</v>
      </c>
      <c r="X65" s="266">
        <v>10083</v>
      </c>
      <c r="Y65" s="266">
        <v>13434</v>
      </c>
      <c r="Z65" s="266">
        <v>12679</v>
      </c>
      <c r="AA65" s="266">
        <v>12993.90260996</v>
      </c>
      <c r="AB65" s="266">
        <v>12363.98025792</v>
      </c>
    </row>
    <row r="66" spans="2:28" ht="16.2" thickBot="1">
      <c r="B66" s="86" t="s">
        <v>92</v>
      </c>
      <c r="C66" s="87">
        <v>6977</v>
      </c>
      <c r="D66" s="87">
        <v>10271</v>
      </c>
      <c r="E66" s="87">
        <v>35229</v>
      </c>
      <c r="F66" s="87">
        <v>76011</v>
      </c>
      <c r="G66" s="87">
        <v>106833</v>
      </c>
      <c r="H66" s="87">
        <v>12548</v>
      </c>
      <c r="I66" s="87">
        <v>47609</v>
      </c>
      <c r="J66" s="87">
        <v>86618</v>
      </c>
      <c r="K66" s="87">
        <v>124779</v>
      </c>
      <c r="L66" s="87">
        <v>38109</v>
      </c>
      <c r="M66" s="87">
        <v>55911</v>
      </c>
      <c r="N66" s="87">
        <v>88659</v>
      </c>
      <c r="O66" s="87">
        <v>126399</v>
      </c>
      <c r="P66" s="266">
        <v>62985</v>
      </c>
      <c r="Q66" s="266">
        <v>113697</v>
      </c>
      <c r="R66" s="266">
        <v>125691</v>
      </c>
      <c r="S66" s="266">
        <v>183000</v>
      </c>
      <c r="T66" s="266">
        <v>60838</v>
      </c>
      <c r="V66" s="86" t="s">
        <v>92</v>
      </c>
      <c r="W66" s="266">
        <v>84779</v>
      </c>
      <c r="X66" s="266">
        <v>102113</v>
      </c>
      <c r="Y66" s="266">
        <v>140612</v>
      </c>
      <c r="Z66" s="266">
        <v>92908</v>
      </c>
      <c r="AA66" s="266">
        <v>109463.30740618</v>
      </c>
      <c r="AB66" s="266">
        <v>34841.486847550004</v>
      </c>
    </row>
    <row r="67" spans="2:28" ht="16.2" thickBot="1">
      <c r="B67" s="86" t="s">
        <v>118</v>
      </c>
      <c r="C67" s="87">
        <v>25927</v>
      </c>
      <c r="D67" s="87">
        <v>38287</v>
      </c>
      <c r="E67" s="87">
        <v>15913</v>
      </c>
      <c r="F67" s="87">
        <v>18847</v>
      </c>
      <c r="G67" s="87">
        <v>20242</v>
      </c>
      <c r="H67" s="87">
        <v>437</v>
      </c>
      <c r="I67" s="87">
        <v>6565</v>
      </c>
      <c r="J67" s="87">
        <v>5549</v>
      </c>
      <c r="K67" s="87">
        <v>8772</v>
      </c>
      <c r="L67" s="87">
        <v>1715</v>
      </c>
      <c r="M67" s="87">
        <v>0</v>
      </c>
      <c r="N67" s="87">
        <v>0</v>
      </c>
      <c r="O67" s="87">
        <v>0</v>
      </c>
      <c r="P67" s="266">
        <v>0</v>
      </c>
      <c r="Q67" s="266">
        <v>0</v>
      </c>
      <c r="R67" s="266">
        <v>0</v>
      </c>
      <c r="S67" s="266">
        <v>0</v>
      </c>
      <c r="T67" s="266">
        <v>1004</v>
      </c>
      <c r="V67" s="86" t="s">
        <v>118</v>
      </c>
      <c r="W67" s="266">
        <v>1016</v>
      </c>
      <c r="X67" s="266">
        <v>1009</v>
      </c>
      <c r="Y67" s="266">
        <v>1035</v>
      </c>
      <c r="Z67" s="266">
        <v>45868</v>
      </c>
      <c r="AA67" s="266">
        <v>46085.842988669996</v>
      </c>
      <c r="AB67" s="266">
        <v>51974.148666059999</v>
      </c>
    </row>
    <row r="68" spans="2:28" ht="16.2" thickBot="1">
      <c r="B68" s="86" t="s">
        <v>119</v>
      </c>
      <c r="C68" s="87">
        <v>4115</v>
      </c>
      <c r="D68" s="87">
        <v>4040</v>
      </c>
      <c r="E68" s="87">
        <v>3680</v>
      </c>
      <c r="F68" s="87">
        <v>3626</v>
      </c>
      <c r="G68" s="87">
        <v>4581</v>
      </c>
      <c r="H68" s="87">
        <v>4025</v>
      </c>
      <c r="I68" s="87">
        <v>3877</v>
      </c>
      <c r="J68" s="87">
        <v>4607</v>
      </c>
      <c r="K68" s="87">
        <v>3716</v>
      </c>
      <c r="L68" s="87">
        <v>3798</v>
      </c>
      <c r="M68" s="87">
        <v>3979</v>
      </c>
      <c r="N68" s="87">
        <v>3511</v>
      </c>
      <c r="O68" s="87">
        <v>4355</v>
      </c>
      <c r="P68" s="266">
        <v>3570</v>
      </c>
      <c r="Q68" s="266">
        <v>3809</v>
      </c>
      <c r="R68" s="266">
        <v>4142</v>
      </c>
      <c r="S68" s="266">
        <v>2931</v>
      </c>
      <c r="T68" s="266">
        <v>4582</v>
      </c>
      <c r="V68" s="86" t="s">
        <v>119</v>
      </c>
      <c r="W68" s="266">
        <v>5564</v>
      </c>
      <c r="X68" s="266">
        <v>2890</v>
      </c>
      <c r="Y68" s="266">
        <v>2137</v>
      </c>
      <c r="Z68" s="266">
        <v>1955</v>
      </c>
      <c r="AA68" s="266">
        <v>15217.499721299999</v>
      </c>
      <c r="AB68" s="266">
        <v>15237.351318809999</v>
      </c>
    </row>
    <row r="69" spans="2:28" ht="16.2" thickBot="1">
      <c r="B69" s="86" t="s">
        <v>152</v>
      </c>
      <c r="C69" s="99">
        <v>0</v>
      </c>
      <c r="D69" s="99">
        <v>0</v>
      </c>
      <c r="E69" s="99">
        <v>219</v>
      </c>
      <c r="F69" s="99">
        <v>0</v>
      </c>
      <c r="G69" s="99">
        <v>0</v>
      </c>
      <c r="H69" s="99">
        <v>0</v>
      </c>
      <c r="I69" s="99">
        <v>0</v>
      </c>
      <c r="J69" s="99">
        <v>0</v>
      </c>
      <c r="K69" s="99">
        <v>0</v>
      </c>
      <c r="L69" s="99">
        <v>0</v>
      </c>
      <c r="M69" s="99">
        <v>0</v>
      </c>
      <c r="N69" s="99">
        <v>0</v>
      </c>
      <c r="O69" s="87"/>
      <c r="P69" s="277">
        <v>0</v>
      </c>
      <c r="Q69" s="277"/>
      <c r="R69" s="277">
        <v>0</v>
      </c>
      <c r="S69" s="277"/>
      <c r="T69" s="277"/>
      <c r="V69" s="86" t="s">
        <v>152</v>
      </c>
      <c r="W69" s="277">
        <v>0</v>
      </c>
      <c r="X69" s="277">
        <v>0</v>
      </c>
      <c r="Y69" s="277">
        <v>0</v>
      </c>
      <c r="Z69" s="277">
        <v>0</v>
      </c>
      <c r="AA69" s="277"/>
      <c r="AB69" s="277"/>
    </row>
    <row r="70" spans="2:28" ht="15.6" thickBot="1">
      <c r="B70" s="84" t="s">
        <v>121</v>
      </c>
      <c r="C70" s="90">
        <v>261774</v>
      </c>
      <c r="D70" s="90">
        <v>296388</v>
      </c>
      <c r="E70" s="90">
        <v>915458</v>
      </c>
      <c r="F70" s="90">
        <v>905657</v>
      </c>
      <c r="G70" s="90">
        <v>658753</v>
      </c>
      <c r="H70" s="90">
        <v>253240</v>
      </c>
      <c r="I70" s="90">
        <v>891741</v>
      </c>
      <c r="J70" s="90">
        <v>996429</v>
      </c>
      <c r="K70" s="90">
        <v>699886</v>
      </c>
      <c r="L70" s="90">
        <v>380411</v>
      </c>
      <c r="M70" s="90">
        <v>1139903</v>
      </c>
      <c r="N70" s="90">
        <v>1105652</v>
      </c>
      <c r="O70" s="90">
        <v>805410</v>
      </c>
      <c r="P70" s="269">
        <f t="shared" ref="P70" si="26">SUM(P63:P69)</f>
        <v>343632</v>
      </c>
      <c r="Q70" s="269">
        <f t="shared" ref="Q70" si="27">SUM(Q63:Q69)</f>
        <v>1805532</v>
      </c>
      <c r="R70" s="269">
        <v>1945401</v>
      </c>
      <c r="S70" s="269">
        <f t="shared" ref="S70" si="28">SUM(S63:S69)</f>
        <v>1281550</v>
      </c>
      <c r="T70" s="269">
        <f t="shared" ref="T70" si="29">SUM(T63:T69)</f>
        <v>420714</v>
      </c>
      <c r="V70" s="84" t="s">
        <v>121</v>
      </c>
      <c r="W70" s="269">
        <v>1285799</v>
      </c>
      <c r="X70" s="269">
        <v>1163072</v>
      </c>
      <c r="Y70" s="269">
        <v>837760</v>
      </c>
      <c r="Z70" s="269">
        <v>593090</v>
      </c>
      <c r="AA70" s="269">
        <v>2641612.0974465297</v>
      </c>
      <c r="AB70" s="269">
        <v>1877521.9550107596</v>
      </c>
    </row>
    <row r="71" spans="2:28" ht="15.6" thickBot="1">
      <c r="B71" s="100" t="s">
        <v>122</v>
      </c>
      <c r="C71" s="101"/>
      <c r="D71" s="101"/>
      <c r="E71" s="101"/>
      <c r="F71" s="101"/>
      <c r="G71" s="101"/>
      <c r="H71" s="101"/>
      <c r="I71" s="101"/>
      <c r="J71" s="101"/>
      <c r="K71" s="101"/>
      <c r="L71" s="101"/>
      <c r="M71" s="101"/>
      <c r="N71" s="101"/>
      <c r="O71" s="101"/>
      <c r="P71" s="273"/>
      <c r="Q71" s="273"/>
      <c r="R71" s="273"/>
      <c r="S71" s="273"/>
      <c r="T71" s="273"/>
      <c r="V71" s="100" t="s">
        <v>122</v>
      </c>
      <c r="W71" s="273"/>
      <c r="X71" s="273"/>
      <c r="Y71" s="273"/>
      <c r="Z71" s="273"/>
      <c r="AA71" s="273"/>
      <c r="AB71" s="273"/>
    </row>
    <row r="72" spans="2:28" ht="16.2" thickBot="1">
      <c r="B72" s="86" t="s">
        <v>114</v>
      </c>
      <c r="C72" s="87">
        <v>2084431</v>
      </c>
      <c r="D72" s="87">
        <v>3814421</v>
      </c>
      <c r="E72" s="87">
        <v>3767433</v>
      </c>
      <c r="F72" s="87">
        <v>3767688</v>
      </c>
      <c r="G72" s="87">
        <v>4220042</v>
      </c>
      <c r="H72" s="87">
        <v>4382795</v>
      </c>
      <c r="I72" s="87">
        <v>4490811</v>
      </c>
      <c r="J72" s="87">
        <v>4239362</v>
      </c>
      <c r="K72" s="87">
        <v>4217812</v>
      </c>
      <c r="L72" s="87">
        <v>4461883</v>
      </c>
      <c r="M72" s="87">
        <v>4495967</v>
      </c>
      <c r="N72" s="87">
        <v>4727877</v>
      </c>
      <c r="O72" s="87">
        <v>4992611</v>
      </c>
      <c r="P72" s="266">
        <v>4670715</v>
      </c>
      <c r="Q72" s="266">
        <v>4655386</v>
      </c>
      <c r="R72" s="266">
        <v>4522584</v>
      </c>
      <c r="S72" s="266">
        <v>4506824</v>
      </c>
      <c r="T72" s="266">
        <v>4620915</v>
      </c>
      <c r="V72" s="86" t="s">
        <v>114</v>
      </c>
      <c r="W72" s="266">
        <v>4549201</v>
      </c>
      <c r="X72" s="266">
        <v>4679704</v>
      </c>
      <c r="Y72" s="266">
        <v>4816794</v>
      </c>
      <c r="Z72" s="266">
        <v>4732735</v>
      </c>
      <c r="AA72" s="266">
        <v>4564526.2394089997</v>
      </c>
      <c r="AB72" s="266">
        <v>4614826.5381730003</v>
      </c>
    </row>
    <row r="73" spans="2:28" ht="16.2" thickBot="1">
      <c r="B73" s="86" t="s">
        <v>115</v>
      </c>
      <c r="C73" s="87">
        <v>4568</v>
      </c>
      <c r="D73" s="87">
        <v>8099</v>
      </c>
      <c r="E73" s="87">
        <v>3006</v>
      </c>
      <c r="F73" s="87">
        <v>3011</v>
      </c>
      <c r="G73" s="87">
        <v>5901</v>
      </c>
      <c r="H73" s="87">
        <v>5465</v>
      </c>
      <c r="I73" s="87">
        <v>5398</v>
      </c>
      <c r="J73" s="87">
        <v>5995</v>
      </c>
      <c r="K73" s="87">
        <v>5744</v>
      </c>
      <c r="L73" s="87">
        <v>12490</v>
      </c>
      <c r="M73" s="87">
        <v>12244</v>
      </c>
      <c r="N73" s="87">
        <v>11939</v>
      </c>
      <c r="O73" s="87">
        <v>15120</v>
      </c>
      <c r="P73" s="266">
        <v>13377</v>
      </c>
      <c r="Q73" s="266">
        <v>13247</v>
      </c>
      <c r="R73" s="266">
        <v>13716</v>
      </c>
      <c r="S73" s="266">
        <v>12055</v>
      </c>
      <c r="T73" s="266">
        <v>9618</v>
      </c>
      <c r="V73" s="86" t="s">
        <v>115</v>
      </c>
      <c r="W73" s="266">
        <v>262005</v>
      </c>
      <c r="X73" s="266">
        <v>264364</v>
      </c>
      <c r="Y73" s="266">
        <v>267933</v>
      </c>
      <c r="Z73" s="266">
        <v>336795</v>
      </c>
      <c r="AA73" s="266">
        <v>344090.45134981</v>
      </c>
      <c r="AB73" s="266">
        <v>351426.11519770999</v>
      </c>
    </row>
    <row r="74" spans="2:28" ht="16.2" thickBot="1">
      <c r="B74" s="86" t="s">
        <v>123</v>
      </c>
      <c r="C74" s="87">
        <v>288768</v>
      </c>
      <c r="D74" s="87">
        <v>300346</v>
      </c>
      <c r="E74" s="87">
        <v>303034</v>
      </c>
      <c r="F74" s="87">
        <v>305600</v>
      </c>
      <c r="G74" s="87">
        <v>308142</v>
      </c>
      <c r="H74" s="87">
        <v>310675</v>
      </c>
      <c r="I74" s="87">
        <v>313280</v>
      </c>
      <c r="J74" s="87">
        <v>315901</v>
      </c>
      <c r="K74" s="87">
        <v>318585</v>
      </c>
      <c r="L74" s="87">
        <v>321299</v>
      </c>
      <c r="M74" s="87">
        <v>324046</v>
      </c>
      <c r="N74" s="87">
        <v>326525</v>
      </c>
      <c r="O74" s="87">
        <v>328253</v>
      </c>
      <c r="P74" s="266">
        <v>329546</v>
      </c>
      <c r="Q74" s="266">
        <v>330971</v>
      </c>
      <c r="R74" s="266">
        <v>332440</v>
      </c>
      <c r="S74" s="266">
        <v>334002</v>
      </c>
      <c r="T74" s="266">
        <v>251182</v>
      </c>
      <c r="V74" s="86" t="s">
        <v>123</v>
      </c>
      <c r="W74" s="266">
        <v>0</v>
      </c>
      <c r="X74" s="266">
        <v>0</v>
      </c>
      <c r="Y74" s="266">
        <v>0</v>
      </c>
      <c r="Z74" s="266">
        <v>0</v>
      </c>
      <c r="AA74" s="266"/>
      <c r="AB74" s="266"/>
    </row>
    <row r="75" spans="2:28" ht="16.2" thickBot="1">
      <c r="B75" s="86" t="s">
        <v>117</v>
      </c>
      <c r="C75" s="87">
        <v>211351</v>
      </c>
      <c r="D75" s="87">
        <v>223294</v>
      </c>
      <c r="E75" s="87">
        <v>229287</v>
      </c>
      <c r="F75" s="87">
        <v>231466</v>
      </c>
      <c r="G75" s="87">
        <v>235552</v>
      </c>
      <c r="H75" s="87">
        <v>226206</v>
      </c>
      <c r="I75" s="87">
        <v>230478</v>
      </c>
      <c r="J75" s="87">
        <v>234750</v>
      </c>
      <c r="K75" s="87">
        <v>239009</v>
      </c>
      <c r="L75" s="87">
        <v>234046</v>
      </c>
      <c r="M75" s="87">
        <v>237351</v>
      </c>
      <c r="N75" s="87">
        <v>239143</v>
      </c>
      <c r="O75" s="87">
        <v>241163</v>
      </c>
      <c r="P75" s="266">
        <v>241713</v>
      </c>
      <c r="Q75" s="266">
        <v>242734</v>
      </c>
      <c r="R75" s="266">
        <v>242824</v>
      </c>
      <c r="S75" s="266">
        <v>243374</v>
      </c>
      <c r="T75" s="266">
        <v>201185</v>
      </c>
      <c r="V75" s="86" t="s">
        <v>117</v>
      </c>
      <c r="W75" s="266">
        <v>202135</v>
      </c>
      <c r="X75" s="266">
        <v>201969</v>
      </c>
      <c r="Y75" s="266">
        <v>202600</v>
      </c>
      <c r="Z75" s="266">
        <v>157939</v>
      </c>
      <c r="AA75" s="266">
        <v>158979.77832099999</v>
      </c>
      <c r="AB75" s="266">
        <v>159119.85531399999</v>
      </c>
    </row>
    <row r="76" spans="2:28" ht="16.2" thickBot="1">
      <c r="B76" s="86" t="s">
        <v>118</v>
      </c>
      <c r="C76" s="87">
        <v>1549</v>
      </c>
      <c r="D76" s="87">
        <v>7026</v>
      </c>
      <c r="E76" s="87">
        <v>7019</v>
      </c>
      <c r="F76" s="87">
        <v>6925</v>
      </c>
      <c r="G76" s="87">
        <v>6850</v>
      </c>
      <c r="H76" s="87">
        <v>11054</v>
      </c>
      <c r="I76" s="87">
        <v>6548</v>
      </c>
      <c r="J76" s="87">
        <v>6548</v>
      </c>
      <c r="K76" s="87">
        <v>6547</v>
      </c>
      <c r="L76" s="87">
        <v>10131</v>
      </c>
      <c r="M76" s="87">
        <v>9956</v>
      </c>
      <c r="N76" s="87">
        <v>10118</v>
      </c>
      <c r="O76" s="87">
        <v>9947</v>
      </c>
      <c r="P76" s="266">
        <v>10007</v>
      </c>
      <c r="Q76" s="266">
        <v>8560</v>
      </c>
      <c r="R76" s="266">
        <v>8733</v>
      </c>
      <c r="S76" s="266">
        <v>8814</v>
      </c>
      <c r="T76" s="266">
        <v>19332</v>
      </c>
      <c r="V76" s="86" t="s">
        <v>118</v>
      </c>
      <c r="W76" s="266">
        <v>20878</v>
      </c>
      <c r="X76" s="266">
        <v>20851</v>
      </c>
      <c r="Y76" s="266">
        <v>19092</v>
      </c>
      <c r="Z76" s="266">
        <v>75816</v>
      </c>
      <c r="AA76" s="266">
        <v>99227.951763160003</v>
      </c>
      <c r="AB76" s="266">
        <v>97106.128930880004</v>
      </c>
    </row>
    <row r="77" spans="2:28" ht="16.2" thickBot="1">
      <c r="B77" s="86" t="s">
        <v>119</v>
      </c>
      <c r="C77" s="87">
        <v>209605</v>
      </c>
      <c r="D77" s="87">
        <v>191812</v>
      </c>
      <c r="E77" s="87">
        <v>187364</v>
      </c>
      <c r="F77" s="87">
        <v>182916</v>
      </c>
      <c r="G77" s="87">
        <v>178468</v>
      </c>
      <c r="H77" s="87">
        <v>173232</v>
      </c>
      <c r="I77" s="87">
        <v>169114</v>
      </c>
      <c r="J77" s="87">
        <v>164997</v>
      </c>
      <c r="K77" s="87">
        <v>160879</v>
      </c>
      <c r="L77" s="87">
        <v>158331</v>
      </c>
      <c r="M77" s="87">
        <v>154477</v>
      </c>
      <c r="N77" s="87">
        <v>151612</v>
      </c>
      <c r="O77" s="87">
        <v>147221</v>
      </c>
      <c r="P77" s="266">
        <v>143464</v>
      </c>
      <c r="Q77" s="266">
        <v>137901</v>
      </c>
      <c r="R77" s="266">
        <v>133793</v>
      </c>
      <c r="S77" s="266">
        <v>131806</v>
      </c>
      <c r="T77" s="266">
        <v>129420</v>
      </c>
      <c r="V77" s="86" t="s">
        <v>119</v>
      </c>
      <c r="W77" s="266">
        <v>125517</v>
      </c>
      <c r="X77" s="266">
        <v>121705</v>
      </c>
      <c r="Y77" s="266">
        <v>118006</v>
      </c>
      <c r="Z77" s="266">
        <v>115163</v>
      </c>
      <c r="AA77" s="266">
        <v>98257.887791720001</v>
      </c>
      <c r="AB77" s="266">
        <v>94662.181629289989</v>
      </c>
    </row>
    <row r="78" spans="2:28" ht="16.2" thickBot="1">
      <c r="B78" s="86" t="s">
        <v>153</v>
      </c>
      <c r="C78" s="87">
        <v>900352</v>
      </c>
      <c r="D78" s="87">
        <v>908995</v>
      </c>
      <c r="E78" s="87">
        <v>911922</v>
      </c>
      <c r="F78" s="87">
        <v>923989</v>
      </c>
      <c r="G78" s="87">
        <v>921376</v>
      </c>
      <c r="H78" s="87">
        <v>848216</v>
      </c>
      <c r="I78" s="87">
        <v>846041</v>
      </c>
      <c r="J78" s="87">
        <v>844589</v>
      </c>
      <c r="K78" s="87">
        <v>841597</v>
      </c>
      <c r="L78" s="87">
        <v>860525</v>
      </c>
      <c r="M78" s="87">
        <v>858780</v>
      </c>
      <c r="N78" s="87">
        <v>859174</v>
      </c>
      <c r="O78" s="87">
        <v>857158</v>
      </c>
      <c r="P78" s="266">
        <v>850437</v>
      </c>
      <c r="Q78" s="266">
        <v>845842</v>
      </c>
      <c r="R78" s="266">
        <v>861643</v>
      </c>
      <c r="S78" s="266">
        <v>1004630</v>
      </c>
      <c r="T78" s="266">
        <v>1051569</v>
      </c>
      <c r="V78" s="86" t="s">
        <v>153</v>
      </c>
      <c r="W78" s="266">
        <v>1056396</v>
      </c>
      <c r="X78" s="266">
        <v>1056396</v>
      </c>
      <c r="Y78" s="266">
        <v>1061998</v>
      </c>
      <c r="Z78" s="266">
        <v>1030657</v>
      </c>
      <c r="AA78" s="266">
        <v>1031953.1367740601</v>
      </c>
      <c r="AB78" s="266">
        <v>1032578.02684406</v>
      </c>
    </row>
    <row r="79" spans="2:28" ht="15.6" thickBot="1">
      <c r="B79" s="84" t="s">
        <v>124</v>
      </c>
      <c r="C79" s="90">
        <v>3700624</v>
      </c>
      <c r="D79" s="90">
        <v>5453993</v>
      </c>
      <c r="E79" s="90">
        <v>5409065</v>
      </c>
      <c r="F79" s="90">
        <v>5421595</v>
      </c>
      <c r="G79" s="90">
        <v>5876331</v>
      </c>
      <c r="H79" s="90">
        <v>5957643</v>
      </c>
      <c r="I79" s="90">
        <v>6061670</v>
      </c>
      <c r="J79" s="90">
        <v>5812142</v>
      </c>
      <c r="K79" s="90">
        <v>5790173</v>
      </c>
      <c r="L79" s="90">
        <v>6058705</v>
      </c>
      <c r="M79" s="90">
        <v>6092821</v>
      </c>
      <c r="N79" s="90">
        <v>6326388</v>
      </c>
      <c r="O79" s="90">
        <v>6591473</v>
      </c>
      <c r="P79" s="269">
        <f t="shared" ref="P79" si="30">SUM(P72:P78)</f>
        <v>6259259</v>
      </c>
      <c r="Q79" s="269">
        <f t="shared" ref="Q79" si="31">SUM(Q72:Q78)</f>
        <v>6234641</v>
      </c>
      <c r="R79" s="269">
        <v>6115733</v>
      </c>
      <c r="S79" s="269">
        <f t="shared" ref="S79" si="32">SUM(S72:S78)</f>
        <v>6241505</v>
      </c>
      <c r="T79" s="269">
        <f t="shared" ref="T79" si="33">SUM(T72:T78)</f>
        <v>6283221</v>
      </c>
      <c r="V79" s="84" t="s">
        <v>124</v>
      </c>
      <c r="W79" s="269">
        <v>6216132</v>
      </c>
      <c r="X79" s="269">
        <v>6344989</v>
      </c>
      <c r="Y79" s="269">
        <v>6486423</v>
      </c>
      <c r="Z79" s="269">
        <v>6449105</v>
      </c>
      <c r="AA79" s="269">
        <v>6297035.4454087494</v>
      </c>
      <c r="AB79" s="269">
        <v>6349718.8460889393</v>
      </c>
    </row>
    <row r="80" spans="2:28" ht="15.6" thickBot="1">
      <c r="B80" s="92" t="s">
        <v>125</v>
      </c>
      <c r="C80" s="93">
        <v>3962398</v>
      </c>
      <c r="D80" s="93">
        <v>5750381</v>
      </c>
      <c r="E80" s="93">
        <v>6324523</v>
      </c>
      <c r="F80" s="93">
        <v>6327252</v>
      </c>
      <c r="G80" s="93">
        <v>6535084</v>
      </c>
      <c r="H80" s="93">
        <v>6210883</v>
      </c>
      <c r="I80" s="93">
        <v>6953411</v>
      </c>
      <c r="J80" s="93">
        <v>6808571</v>
      </c>
      <c r="K80" s="93">
        <v>6490059</v>
      </c>
      <c r="L80" s="93">
        <v>6439116</v>
      </c>
      <c r="M80" s="93">
        <v>7232724</v>
      </c>
      <c r="N80" s="93">
        <v>7432040</v>
      </c>
      <c r="O80" s="93">
        <v>7396883</v>
      </c>
      <c r="P80" s="270">
        <f t="shared" ref="P80:Q80" si="34">+P70+P79</f>
        <v>6602891</v>
      </c>
      <c r="Q80" s="270">
        <f t="shared" si="34"/>
        <v>8040173</v>
      </c>
      <c r="R80" s="270">
        <v>8061134</v>
      </c>
      <c r="S80" s="270">
        <f t="shared" ref="S80:T80" si="35">+S70+S79</f>
        <v>7523055</v>
      </c>
      <c r="T80" s="270">
        <f t="shared" si="35"/>
        <v>6703935</v>
      </c>
      <c r="V80" s="92" t="s">
        <v>125</v>
      </c>
      <c r="W80" s="270">
        <v>7501931</v>
      </c>
      <c r="X80" s="270">
        <v>7508061</v>
      </c>
      <c r="Y80" s="270">
        <v>7324183</v>
      </c>
      <c r="Z80" s="270">
        <v>7042195</v>
      </c>
      <c r="AA80" s="270">
        <v>8938647.5428552795</v>
      </c>
      <c r="AB80" s="270">
        <v>8227240.801099699</v>
      </c>
    </row>
    <row r="81" spans="1:28" ht="15.6" thickBot="1">
      <c r="B81" s="95"/>
      <c r="C81" s="96"/>
      <c r="D81" s="96"/>
      <c r="E81" s="96"/>
      <c r="F81" s="96"/>
      <c r="G81" s="96"/>
      <c r="H81" s="96"/>
      <c r="I81" s="96"/>
      <c r="J81" s="96"/>
      <c r="K81" s="96"/>
      <c r="L81" s="96"/>
      <c r="M81" s="96"/>
      <c r="N81" s="96"/>
      <c r="O81" s="96"/>
      <c r="P81" s="274"/>
      <c r="Q81" s="274"/>
      <c r="R81" s="274">
        <v>0</v>
      </c>
      <c r="S81" s="274"/>
      <c r="T81" s="274"/>
      <c r="V81" s="95"/>
      <c r="W81" s="274">
        <v>0</v>
      </c>
      <c r="X81" s="274">
        <v>0</v>
      </c>
      <c r="Y81" s="274">
        <v>0</v>
      </c>
      <c r="Z81" s="274"/>
      <c r="AA81" s="274"/>
      <c r="AB81" s="274"/>
    </row>
    <row r="82" spans="1:28" ht="15.6" thickBot="1">
      <c r="B82" s="102" t="s">
        <v>126</v>
      </c>
      <c r="C82" s="101"/>
      <c r="D82" s="101"/>
      <c r="E82" s="101"/>
      <c r="F82" s="101"/>
      <c r="G82" s="101"/>
      <c r="H82" s="101"/>
      <c r="I82" s="101"/>
      <c r="J82" s="101"/>
      <c r="K82" s="101"/>
      <c r="L82" s="101"/>
      <c r="M82" s="101"/>
      <c r="N82" s="101"/>
      <c r="O82" s="101"/>
      <c r="P82" s="273"/>
      <c r="Q82" s="273"/>
      <c r="R82" s="273"/>
      <c r="S82" s="273"/>
      <c r="T82" s="273"/>
      <c r="V82" s="102" t="s">
        <v>126</v>
      </c>
      <c r="W82" s="273"/>
      <c r="X82" s="273"/>
      <c r="Y82" s="273"/>
      <c r="Z82" s="273"/>
      <c r="AA82" s="273"/>
      <c r="AB82" s="273"/>
    </row>
    <row r="83" spans="1:28" ht="16.2" thickBot="1">
      <c r="B83" s="86" t="s">
        <v>127</v>
      </c>
      <c r="C83" s="87">
        <v>36916</v>
      </c>
      <c r="D83" s="87">
        <v>36916</v>
      </c>
      <c r="E83" s="87">
        <v>36916</v>
      </c>
      <c r="F83" s="87">
        <v>36916</v>
      </c>
      <c r="G83" s="87">
        <v>36916</v>
      </c>
      <c r="H83" s="87">
        <v>36916</v>
      </c>
      <c r="I83" s="87">
        <v>36916</v>
      </c>
      <c r="J83" s="87">
        <v>36916</v>
      </c>
      <c r="K83" s="87">
        <v>36916</v>
      </c>
      <c r="L83" s="87">
        <v>36916</v>
      </c>
      <c r="M83" s="87">
        <v>36916</v>
      </c>
      <c r="N83" s="87">
        <v>36916</v>
      </c>
      <c r="O83" s="87">
        <v>36916</v>
      </c>
      <c r="P83" s="266">
        <v>36916</v>
      </c>
      <c r="Q83" s="266">
        <v>36916</v>
      </c>
      <c r="R83" s="266">
        <v>36916</v>
      </c>
      <c r="S83" s="266">
        <v>36916</v>
      </c>
      <c r="T83" s="266">
        <v>36916</v>
      </c>
      <c r="V83" s="86" t="s">
        <v>127</v>
      </c>
      <c r="W83" s="266">
        <v>36916</v>
      </c>
      <c r="X83" s="266">
        <v>36916</v>
      </c>
      <c r="Y83" s="266">
        <v>36916</v>
      </c>
      <c r="Z83" s="266">
        <v>36916</v>
      </c>
      <c r="AA83" s="266">
        <v>36916.334930819998</v>
      </c>
      <c r="AB83" s="266">
        <v>36916.334930819998</v>
      </c>
    </row>
    <row r="84" spans="1:28" ht="16.2" thickBot="1">
      <c r="B84" s="86" t="s">
        <v>128</v>
      </c>
      <c r="C84" s="87">
        <v>1428128</v>
      </c>
      <c r="D84" s="87">
        <v>1428128</v>
      </c>
      <c r="E84" s="87">
        <v>1428128</v>
      </c>
      <c r="F84" s="87">
        <v>1428128</v>
      </c>
      <c r="G84" s="87">
        <v>1428128</v>
      </c>
      <c r="H84" s="87">
        <v>1428128</v>
      </c>
      <c r="I84" s="87">
        <v>1428128</v>
      </c>
      <c r="J84" s="87">
        <v>1428128</v>
      </c>
      <c r="K84" s="87">
        <v>1428128</v>
      </c>
      <c r="L84" s="87">
        <v>1428128</v>
      </c>
      <c r="M84" s="87">
        <v>1428128</v>
      </c>
      <c r="N84" s="87">
        <v>1428128</v>
      </c>
      <c r="O84" s="87">
        <v>1428128</v>
      </c>
      <c r="P84" s="266">
        <v>1428128</v>
      </c>
      <c r="Q84" s="266">
        <v>1428128</v>
      </c>
      <c r="R84" s="266">
        <v>1428128</v>
      </c>
      <c r="S84" s="266">
        <v>1428128</v>
      </c>
      <c r="T84" s="266">
        <v>1428128</v>
      </c>
      <c r="V84" s="86" t="s">
        <v>128</v>
      </c>
      <c r="W84" s="266">
        <v>1428128</v>
      </c>
      <c r="X84" s="266">
        <v>1428128</v>
      </c>
      <c r="Y84" s="266">
        <v>1428128</v>
      </c>
      <c r="Z84" s="266">
        <v>1428128</v>
      </c>
      <c r="AA84" s="266">
        <v>1428127.8913155901</v>
      </c>
      <c r="AB84" s="266">
        <v>1428127.8913155901</v>
      </c>
    </row>
    <row r="85" spans="1:28" ht="16.2" thickBot="1">
      <c r="B85" s="86" t="s">
        <v>129</v>
      </c>
      <c r="C85" s="87">
        <v>1878709</v>
      </c>
      <c r="D85" s="87">
        <v>3585959</v>
      </c>
      <c r="E85" s="87">
        <v>4428306</v>
      </c>
      <c r="F85" s="87">
        <v>4428306</v>
      </c>
      <c r="G85" s="87">
        <v>4428306</v>
      </c>
      <c r="H85" s="87">
        <v>4428306</v>
      </c>
      <c r="I85" s="87">
        <v>5346023</v>
      </c>
      <c r="J85" s="87">
        <v>5346023</v>
      </c>
      <c r="K85" s="87">
        <v>5346023</v>
      </c>
      <c r="L85" s="87">
        <v>5346023</v>
      </c>
      <c r="M85" s="87">
        <v>6241845</v>
      </c>
      <c r="N85" s="87">
        <v>6241845</v>
      </c>
      <c r="O85" s="87">
        <v>6241845</v>
      </c>
      <c r="P85" s="266">
        <v>6241845</v>
      </c>
      <c r="Q85" s="266">
        <v>6861491</v>
      </c>
      <c r="R85" s="266">
        <v>6861491</v>
      </c>
      <c r="S85" s="266">
        <v>6861491</v>
      </c>
      <c r="T85" s="266">
        <v>6861491</v>
      </c>
      <c r="V85" s="86" t="s">
        <v>129</v>
      </c>
      <c r="W85" s="266">
        <v>7690798</v>
      </c>
      <c r="X85" s="266">
        <v>7690798</v>
      </c>
      <c r="Y85" s="266">
        <v>7690798</v>
      </c>
      <c r="Z85" s="266">
        <v>7690798</v>
      </c>
      <c r="AA85" s="266">
        <v>7952815.7595383096</v>
      </c>
      <c r="AB85" s="266">
        <v>7952815.7595383096</v>
      </c>
    </row>
    <row r="86" spans="1:28" ht="16.2" thickBot="1">
      <c r="B86" s="86" t="s">
        <v>130</v>
      </c>
      <c r="C86" s="87">
        <v>3242453</v>
      </c>
      <c r="D86" s="87">
        <v>3242453</v>
      </c>
      <c r="E86" s="87">
        <v>3242453</v>
      </c>
      <c r="F86" s="87">
        <v>3242453</v>
      </c>
      <c r="G86" s="87">
        <v>3242453</v>
      </c>
      <c r="H86" s="87">
        <v>3236320</v>
      </c>
      <c r="I86" s="87">
        <v>3236320</v>
      </c>
      <c r="J86" s="87">
        <v>3236320</v>
      </c>
      <c r="K86" s="87">
        <v>3236320</v>
      </c>
      <c r="L86" s="87">
        <v>3236320</v>
      </c>
      <c r="M86" s="87">
        <v>3236320</v>
      </c>
      <c r="N86" s="87">
        <v>3236320</v>
      </c>
      <c r="O86" s="87">
        <v>3207681</v>
      </c>
      <c r="P86" s="266">
        <v>3236320</v>
      </c>
      <c r="Q86" s="266">
        <v>3236320</v>
      </c>
      <c r="R86" s="266">
        <v>3236320</v>
      </c>
      <c r="S86" s="266">
        <v>3236320</v>
      </c>
      <c r="T86" s="266">
        <v>3236320</v>
      </c>
      <c r="V86" s="86" t="s">
        <v>130</v>
      </c>
      <c r="W86" s="266">
        <v>3198135</v>
      </c>
      <c r="X86" s="266">
        <v>3236320</v>
      </c>
      <c r="Y86" s="266">
        <v>3236320</v>
      </c>
      <c r="Z86" s="266">
        <v>3236320</v>
      </c>
      <c r="AA86" s="266">
        <v>3236319.5050919303</v>
      </c>
      <c r="AB86" s="266">
        <v>3236319.5050919303</v>
      </c>
    </row>
    <row r="87" spans="1:28" ht="16.2" thickBot="1">
      <c r="B87" s="86" t="s">
        <v>131</v>
      </c>
      <c r="C87" s="87">
        <v>2141460</v>
      </c>
      <c r="D87" s="87">
        <v>1442708</v>
      </c>
      <c r="E87" s="87">
        <v>298768</v>
      </c>
      <c r="F87" s="87">
        <v>532219</v>
      </c>
      <c r="G87" s="87">
        <v>946440</v>
      </c>
      <c r="H87" s="87">
        <v>1529155</v>
      </c>
      <c r="I87" s="87">
        <v>354319</v>
      </c>
      <c r="J87" s="87">
        <v>794601</v>
      </c>
      <c r="K87" s="87">
        <v>1201645</v>
      </c>
      <c r="L87" s="87">
        <v>1643505</v>
      </c>
      <c r="M87" s="87">
        <v>379700</v>
      </c>
      <c r="N87" s="87">
        <v>931307</v>
      </c>
      <c r="O87" s="87">
        <v>1412690</v>
      </c>
      <c r="P87" s="266">
        <v>2062950</v>
      </c>
      <c r="Q87" s="266">
        <v>507540</v>
      </c>
      <c r="R87" s="266">
        <v>1093020</v>
      </c>
      <c r="S87" s="266">
        <v>1213974</v>
      </c>
      <c r="T87" s="266">
        <v>1658959</v>
      </c>
      <c r="V87" s="86" t="s">
        <v>131</v>
      </c>
      <c r="W87" s="266">
        <v>427951</v>
      </c>
      <c r="X87" s="266">
        <v>1097275</v>
      </c>
      <c r="Y87" s="266">
        <v>1761575</v>
      </c>
      <c r="Z87" s="266">
        <v>2191592</v>
      </c>
      <c r="AA87" s="266">
        <v>825719.25848278007</v>
      </c>
      <c r="AB87" s="266">
        <v>1517514.5340655099</v>
      </c>
    </row>
    <row r="88" spans="1:28" ht="16.2" thickBot="1">
      <c r="B88" s="86" t="s">
        <v>132</v>
      </c>
      <c r="C88" s="87">
        <v>1150568</v>
      </c>
      <c r="D88" s="87">
        <v>1239964</v>
      </c>
      <c r="E88" s="87">
        <v>654755</v>
      </c>
      <c r="F88" s="87">
        <v>411701</v>
      </c>
      <c r="G88" s="87">
        <v>377230</v>
      </c>
      <c r="H88" s="87">
        <v>1234415</v>
      </c>
      <c r="I88" s="87">
        <v>1023601</v>
      </c>
      <c r="J88" s="87">
        <v>1090675</v>
      </c>
      <c r="K88" s="87">
        <v>1275494</v>
      </c>
      <c r="L88" s="87">
        <v>779923</v>
      </c>
      <c r="M88" s="87">
        <v>1451479</v>
      </c>
      <c r="N88" s="87">
        <v>527195</v>
      </c>
      <c r="O88" s="87">
        <v>910036</v>
      </c>
      <c r="P88" s="266">
        <v>194014</v>
      </c>
      <c r="Q88" s="266">
        <v>745958</v>
      </c>
      <c r="R88" s="266">
        <v>1288755</v>
      </c>
      <c r="S88" s="266">
        <f>984049-1</f>
        <v>984048</v>
      </c>
      <c r="T88" s="266">
        <v>1167819</v>
      </c>
      <c r="V88" s="86" t="s">
        <v>132</v>
      </c>
      <c r="W88" s="266">
        <v>1562603</v>
      </c>
      <c r="X88" s="266">
        <v>1547105</v>
      </c>
      <c r="Y88" s="266">
        <v>2287569</v>
      </c>
      <c r="Z88" s="266">
        <v>3866492</v>
      </c>
      <c r="AA88" s="266">
        <v>3816397.2389936801</v>
      </c>
      <c r="AB88" s="266">
        <v>2834340.8166604103</v>
      </c>
    </row>
    <row r="89" spans="1:28" ht="15.6" thickBot="1">
      <c r="B89" s="84" t="s">
        <v>135</v>
      </c>
      <c r="C89" s="90">
        <v>9878234</v>
      </c>
      <c r="D89" s="90">
        <v>10976128</v>
      </c>
      <c r="E89" s="90">
        <v>10089326</v>
      </c>
      <c r="F89" s="90">
        <v>10079723</v>
      </c>
      <c r="G89" s="90">
        <v>10459473</v>
      </c>
      <c r="H89" s="90">
        <v>11893240</v>
      </c>
      <c r="I89" s="90">
        <f>SUM(I83:I88)</f>
        <v>11425307</v>
      </c>
      <c r="J89" s="90">
        <f>SUM(J83:J88)</f>
        <v>11932663</v>
      </c>
      <c r="K89" s="90">
        <f>SUM(K83:K88)</f>
        <v>12524526</v>
      </c>
      <c r="L89" s="90">
        <v>12470815</v>
      </c>
      <c r="M89" s="90">
        <v>12774388</v>
      </c>
      <c r="N89" s="90">
        <v>12401711</v>
      </c>
      <c r="O89" s="90">
        <v>13237296</v>
      </c>
      <c r="P89" s="269">
        <f t="shared" ref="P89" si="36">SUM(P83:P88)</f>
        <v>13200173</v>
      </c>
      <c r="Q89" s="269">
        <f t="shared" ref="Q89" si="37">SUM(Q83:Q88)</f>
        <v>12816353</v>
      </c>
      <c r="R89" s="269">
        <v>13944630</v>
      </c>
      <c r="S89" s="269">
        <f t="shared" ref="S89" si="38">SUM(S83:S88)</f>
        <v>13760877</v>
      </c>
      <c r="T89" s="269">
        <f t="shared" ref="T89" si="39">SUM(T83:T88)</f>
        <v>14389633</v>
      </c>
      <c r="V89" s="84" t="s">
        <v>135</v>
      </c>
      <c r="W89" s="269">
        <v>14344531</v>
      </c>
      <c r="X89" s="269">
        <v>15036542</v>
      </c>
      <c r="Y89" s="269">
        <v>16441306</v>
      </c>
      <c r="Z89" s="269">
        <v>18450246</v>
      </c>
      <c r="AA89" s="269">
        <v>17296295.988353111</v>
      </c>
      <c r="AB89" s="269">
        <v>17006034.841602571</v>
      </c>
    </row>
    <row r="90" spans="1:28" ht="15.6" thickBot="1">
      <c r="B90" s="103" t="s">
        <v>136</v>
      </c>
      <c r="C90" s="93">
        <v>13840632</v>
      </c>
      <c r="D90" s="93">
        <v>16726509</v>
      </c>
      <c r="E90" s="93">
        <v>16413849</v>
      </c>
      <c r="F90" s="93">
        <v>16406975</v>
      </c>
      <c r="G90" s="93">
        <v>16994557</v>
      </c>
      <c r="H90" s="93">
        <v>18104123</v>
      </c>
      <c r="I90" s="93">
        <f>+I89+I790</f>
        <v>11425307</v>
      </c>
      <c r="J90" s="93">
        <f>+J89+J790</f>
        <v>11932663</v>
      </c>
      <c r="K90" s="93">
        <f>+K89+K790</f>
        <v>12524526</v>
      </c>
      <c r="L90" s="93">
        <v>18909931</v>
      </c>
      <c r="M90" s="93">
        <v>20007112</v>
      </c>
      <c r="N90" s="93">
        <v>19833751</v>
      </c>
      <c r="O90" s="93">
        <v>20634179</v>
      </c>
      <c r="P90" s="270">
        <f t="shared" ref="P90:Q90" si="40">+P80+P89</f>
        <v>19803064</v>
      </c>
      <c r="Q90" s="270">
        <f t="shared" si="40"/>
        <v>20856526</v>
      </c>
      <c r="R90" s="270">
        <v>22005764</v>
      </c>
      <c r="S90" s="270">
        <f t="shared" ref="S90:T90" si="41">+S80+S89</f>
        <v>21283932</v>
      </c>
      <c r="T90" s="270">
        <f t="shared" si="41"/>
        <v>21093568</v>
      </c>
      <c r="V90" s="103" t="s">
        <v>136</v>
      </c>
      <c r="W90" s="270">
        <v>21846462</v>
      </c>
      <c r="X90" s="270">
        <v>22544603</v>
      </c>
      <c r="Y90" s="270">
        <v>23765489</v>
      </c>
      <c r="Z90" s="270">
        <v>25492441</v>
      </c>
      <c r="AA90" s="270">
        <v>26234943.531208389</v>
      </c>
      <c r="AB90" s="270">
        <v>25233275.64270227</v>
      </c>
    </row>
    <row r="91" spans="1:28" ht="15.6">
      <c r="B91" s="68"/>
      <c r="C91" s="104">
        <f>+C59-C80-C89</f>
        <v>0</v>
      </c>
      <c r="D91" s="104">
        <f t="shared" ref="D91:N91" si="42">+D59-D80-D89</f>
        <v>0</v>
      </c>
      <c r="E91" s="104">
        <f t="shared" si="42"/>
        <v>0</v>
      </c>
      <c r="F91" s="104">
        <f t="shared" si="42"/>
        <v>0</v>
      </c>
      <c r="G91" s="104">
        <f t="shared" si="42"/>
        <v>0</v>
      </c>
      <c r="H91" s="104">
        <f t="shared" si="42"/>
        <v>0</v>
      </c>
      <c r="I91" s="104">
        <f>+I59-I80-I89</f>
        <v>0</v>
      </c>
      <c r="J91" s="104">
        <f t="shared" si="42"/>
        <v>0</v>
      </c>
      <c r="K91" s="104">
        <f t="shared" si="42"/>
        <v>0</v>
      </c>
      <c r="L91" s="104">
        <f t="shared" si="42"/>
        <v>0</v>
      </c>
      <c r="M91" s="104">
        <f t="shared" si="42"/>
        <v>0</v>
      </c>
      <c r="N91" s="104">
        <f t="shared" si="42"/>
        <v>0</v>
      </c>
      <c r="O91" s="104">
        <v>0</v>
      </c>
      <c r="P91" s="276">
        <f t="shared" ref="P91:R91" si="43">+P90-P59</f>
        <v>0</v>
      </c>
      <c r="Q91" s="276">
        <f t="shared" si="43"/>
        <v>0</v>
      </c>
      <c r="R91" s="276">
        <f t="shared" si="43"/>
        <v>0</v>
      </c>
      <c r="S91" s="276"/>
    </row>
    <row r="92" spans="1:28" ht="15.6">
      <c r="B92" s="67"/>
      <c r="C92" s="105">
        <f>+C28-C87</f>
        <v>0</v>
      </c>
      <c r="D92" s="105">
        <f>+D28-D87</f>
        <v>0</v>
      </c>
      <c r="E92" s="105">
        <f>+E28-E87</f>
        <v>0</v>
      </c>
      <c r="F92" s="105">
        <f>+F28+E28-F87</f>
        <v>0</v>
      </c>
      <c r="G92" s="105">
        <f>+G28+F28+E28-G87</f>
        <v>0</v>
      </c>
      <c r="H92" s="105">
        <f>+H28+G28+F28+E28-H87</f>
        <v>0</v>
      </c>
      <c r="I92" s="105">
        <f>+I28-I87</f>
        <v>0</v>
      </c>
      <c r="J92" s="105">
        <f>+J28+I28-J87</f>
        <v>0</v>
      </c>
      <c r="K92" s="105">
        <f>+K28+J28+I28-K87</f>
        <v>0</v>
      </c>
      <c r="L92" s="105">
        <f>+L28+K28+J28+I28-L87</f>
        <v>0</v>
      </c>
      <c r="M92" s="105">
        <f>+M28-M87</f>
        <v>35517</v>
      </c>
      <c r="N92" s="105">
        <f>+N28+M28-N87</f>
        <v>64384</v>
      </c>
      <c r="O92" s="105"/>
      <c r="P92" s="33"/>
    </row>
    <row r="93" spans="1:28" ht="15.6">
      <c r="B93" s="67"/>
      <c r="C93" s="106"/>
      <c r="D93" s="106"/>
      <c r="E93" s="106"/>
      <c r="F93" s="106"/>
      <c r="G93" s="106"/>
      <c r="H93" s="106"/>
      <c r="I93" s="106"/>
      <c r="J93" s="106"/>
      <c r="K93" s="106"/>
      <c r="L93" s="106"/>
      <c r="M93" s="106"/>
      <c r="N93" s="106"/>
      <c r="O93" s="106"/>
    </row>
    <row r="94" spans="1:28" ht="15.6">
      <c r="A94" s="48" t="s">
        <v>137</v>
      </c>
      <c r="B94" s="11" t="s">
        <v>154</v>
      </c>
      <c r="C94" s="34"/>
      <c r="D94" s="34"/>
      <c r="E94" s="34"/>
      <c r="F94" s="34"/>
      <c r="G94" s="34"/>
      <c r="H94" s="34"/>
      <c r="I94" s="34"/>
      <c r="J94" s="34"/>
      <c r="K94" s="34"/>
      <c r="L94" s="34"/>
      <c r="M94" s="34"/>
      <c r="N94" s="34"/>
      <c r="O94" s="34"/>
    </row>
    <row r="95" spans="1:28" ht="15.6">
      <c r="B95" s="13" t="s">
        <v>39</v>
      </c>
      <c r="C95" s="68"/>
      <c r="D95" s="68"/>
      <c r="E95" s="68"/>
      <c r="F95" s="68"/>
      <c r="G95" s="68"/>
      <c r="H95" s="68"/>
      <c r="I95" s="68"/>
      <c r="J95" s="68"/>
      <c r="K95" s="68"/>
      <c r="L95" s="68"/>
      <c r="M95" s="68"/>
      <c r="N95" s="68"/>
      <c r="O95" s="68"/>
    </row>
    <row r="96" spans="1:28" ht="15.6">
      <c r="B96" s="8"/>
      <c r="C96" s="8"/>
      <c r="D96" s="8"/>
      <c r="E96" s="8"/>
      <c r="F96" s="8"/>
      <c r="G96" s="8"/>
      <c r="H96" s="8"/>
      <c r="I96" s="8"/>
      <c r="J96" s="8"/>
      <c r="K96" s="8"/>
      <c r="L96" s="8"/>
      <c r="M96" s="8"/>
      <c r="N96" s="8"/>
      <c r="O96" s="8"/>
    </row>
    <row r="97" spans="2:28" s="28" customFormat="1" ht="15.6">
      <c r="B97" s="69"/>
      <c r="C97" s="70">
        <v>2016</v>
      </c>
      <c r="D97" s="70">
        <v>2017</v>
      </c>
      <c r="E97" s="70" t="s">
        <v>40</v>
      </c>
      <c r="F97" s="70" t="s">
        <v>41</v>
      </c>
      <c r="G97" s="70" t="s">
        <v>42</v>
      </c>
      <c r="H97" s="70" t="s">
        <v>43</v>
      </c>
      <c r="I97" s="70" t="s">
        <v>44</v>
      </c>
      <c r="J97" s="70" t="s">
        <v>45</v>
      </c>
      <c r="K97" s="70" t="s">
        <v>46</v>
      </c>
      <c r="L97" s="70" t="s">
        <v>47</v>
      </c>
      <c r="M97" s="70" t="s">
        <v>48</v>
      </c>
      <c r="N97" s="70" t="s">
        <v>49</v>
      </c>
      <c r="O97" s="70" t="s">
        <v>50</v>
      </c>
      <c r="P97" s="70" t="s">
        <v>51</v>
      </c>
      <c r="Q97" s="70" t="s">
        <v>52</v>
      </c>
      <c r="R97" s="70" t="s">
        <v>155</v>
      </c>
      <c r="S97" s="70" t="s">
        <v>54</v>
      </c>
      <c r="T97" s="70" t="s">
        <v>55</v>
      </c>
      <c r="U97"/>
      <c r="V97" s="69"/>
      <c r="W97" s="70" t="s">
        <v>87</v>
      </c>
      <c r="X97" s="70" t="s">
        <v>56</v>
      </c>
      <c r="Y97" s="70" t="s">
        <v>57</v>
      </c>
      <c r="Z97" s="70" t="s">
        <v>1154</v>
      </c>
      <c r="AA97" s="70" t="s">
        <v>1169</v>
      </c>
      <c r="AB97" s="70" t="s">
        <v>1207</v>
      </c>
    </row>
    <row r="98" spans="2:28" ht="15.6">
      <c r="B98" s="71"/>
      <c r="C98" s="8"/>
      <c r="D98" s="8"/>
      <c r="E98" s="8"/>
      <c r="F98" s="8"/>
      <c r="G98" s="8"/>
      <c r="H98" s="8"/>
      <c r="I98" s="8"/>
      <c r="J98" s="8"/>
      <c r="K98" s="8"/>
      <c r="L98" s="8"/>
      <c r="M98" s="8"/>
      <c r="N98" s="8"/>
      <c r="O98" s="8"/>
    </row>
    <row r="99" spans="2:28" ht="15.6">
      <c r="B99" s="72" t="s">
        <v>142</v>
      </c>
      <c r="C99" s="107">
        <v>1017608</v>
      </c>
      <c r="D99" s="107">
        <v>947816</v>
      </c>
      <c r="E99" s="107">
        <v>236187</v>
      </c>
      <c r="F99" s="107">
        <v>240267</v>
      </c>
      <c r="G99" s="107">
        <v>243982</v>
      </c>
      <c r="H99" s="107">
        <v>249792</v>
      </c>
      <c r="I99" s="107">
        <v>250666</v>
      </c>
      <c r="J99" s="107">
        <v>257791</v>
      </c>
      <c r="K99" s="107">
        <v>265674</v>
      </c>
      <c r="L99" s="107">
        <v>270754</v>
      </c>
      <c r="M99" s="107">
        <v>281949</v>
      </c>
      <c r="N99" s="107">
        <v>286133</v>
      </c>
      <c r="O99" s="107">
        <v>287343</v>
      </c>
      <c r="P99" s="298">
        <v>286898</v>
      </c>
      <c r="Q99" s="294">
        <v>291119</v>
      </c>
      <c r="R99" s="294">
        <v>307554</v>
      </c>
      <c r="S99" s="294">
        <v>319700</v>
      </c>
      <c r="T99" s="294">
        <v>360675</v>
      </c>
      <c r="V99" s="72" t="s">
        <v>142</v>
      </c>
      <c r="W99" s="294">
        <v>393343.60997500003</v>
      </c>
      <c r="X99" s="294">
        <v>417229.59040999995</v>
      </c>
      <c r="Y99" s="294">
        <v>445709</v>
      </c>
      <c r="Z99" s="294">
        <v>412479</v>
      </c>
      <c r="AA99" s="294">
        <v>439804</v>
      </c>
      <c r="AB99" s="294">
        <v>440044</v>
      </c>
    </row>
    <row r="100" spans="2:28" ht="15.6">
      <c r="B100" s="72" t="s">
        <v>143</v>
      </c>
      <c r="C100" s="107">
        <v>103748</v>
      </c>
      <c r="D100" s="107">
        <v>116537</v>
      </c>
      <c r="E100" s="107">
        <v>28712</v>
      </c>
      <c r="F100" s="107">
        <v>29431</v>
      </c>
      <c r="G100" s="107">
        <v>31229</v>
      </c>
      <c r="H100" s="107">
        <v>30633</v>
      </c>
      <c r="I100" s="107">
        <v>29501</v>
      </c>
      <c r="J100" s="107">
        <v>30517</v>
      </c>
      <c r="K100" s="107">
        <v>33076</v>
      </c>
      <c r="L100" s="107">
        <v>31313</v>
      </c>
      <c r="M100" s="107">
        <v>32691</v>
      </c>
      <c r="N100" s="107">
        <v>33338</v>
      </c>
      <c r="O100" s="107">
        <v>35723</v>
      </c>
      <c r="P100" s="298">
        <v>37807</v>
      </c>
      <c r="Q100" s="294">
        <v>35749</v>
      </c>
      <c r="R100" s="294">
        <v>36302</v>
      </c>
      <c r="S100" s="294">
        <v>38802</v>
      </c>
      <c r="T100" s="294">
        <v>39023</v>
      </c>
      <c r="V100" s="72" t="s">
        <v>143</v>
      </c>
      <c r="W100" s="294">
        <v>42612.763305</v>
      </c>
      <c r="X100" s="294">
        <v>45397.801374000002</v>
      </c>
      <c r="Y100" s="294">
        <v>47497</v>
      </c>
      <c r="Z100" s="294">
        <v>46695</v>
      </c>
      <c r="AA100" s="294">
        <v>47982</v>
      </c>
      <c r="AB100" s="294">
        <v>47245</v>
      </c>
    </row>
    <row r="101" spans="2:28" ht="15.6">
      <c r="B101" s="72" t="s">
        <v>156</v>
      </c>
      <c r="C101" s="107">
        <v>13564</v>
      </c>
      <c r="D101" s="107">
        <v>14655</v>
      </c>
      <c r="E101" s="107">
        <v>4037</v>
      </c>
      <c r="F101" s="107">
        <v>4771</v>
      </c>
      <c r="G101" s="107">
        <v>5463</v>
      </c>
      <c r="H101" s="107">
        <v>6263</v>
      </c>
      <c r="I101" s="107">
        <v>4507</v>
      </c>
      <c r="J101" s="107">
        <v>5088</v>
      </c>
      <c r="K101" s="107">
        <v>6103</v>
      </c>
      <c r="L101" s="107">
        <v>6957</v>
      </c>
      <c r="M101" s="107">
        <v>4849</v>
      </c>
      <c r="N101" s="107">
        <v>4212</v>
      </c>
      <c r="O101" s="107">
        <v>6011</v>
      </c>
      <c r="P101" s="299" t="s">
        <v>157</v>
      </c>
      <c r="Q101" s="294">
        <v>5410</v>
      </c>
      <c r="R101" s="294">
        <v>6200</v>
      </c>
      <c r="S101" s="294">
        <v>6725</v>
      </c>
      <c r="T101" s="294">
        <v>9099</v>
      </c>
      <c r="V101" s="72" t="s">
        <v>144</v>
      </c>
      <c r="W101" s="294">
        <v>5779.2175639999996</v>
      </c>
      <c r="X101" s="294">
        <v>7285.630180000001</v>
      </c>
      <c r="Y101" s="294">
        <v>7849</v>
      </c>
      <c r="Z101" s="294">
        <v>8297</v>
      </c>
      <c r="AA101" s="294">
        <v>8490</v>
      </c>
      <c r="AB101" s="294">
        <v>8670</v>
      </c>
    </row>
    <row r="102" spans="2:28" ht="15.6">
      <c r="B102" s="72" t="s">
        <v>158</v>
      </c>
      <c r="C102" s="107">
        <v>5535</v>
      </c>
      <c r="D102" s="107">
        <v>5566</v>
      </c>
      <c r="E102" s="107">
        <v>1417</v>
      </c>
      <c r="F102" s="107">
        <v>1418</v>
      </c>
      <c r="G102" s="107">
        <v>1418</v>
      </c>
      <c r="H102" s="107">
        <v>1688</v>
      </c>
      <c r="I102" s="107">
        <v>1876</v>
      </c>
      <c r="J102" s="107">
        <v>1862</v>
      </c>
      <c r="K102" s="107">
        <v>1840</v>
      </c>
      <c r="L102" s="107">
        <v>1844</v>
      </c>
      <c r="M102" s="107">
        <v>1100</v>
      </c>
      <c r="N102" s="107">
        <v>2010</v>
      </c>
      <c r="O102" s="107">
        <v>1505</v>
      </c>
      <c r="P102" s="298">
        <v>1535</v>
      </c>
      <c r="Q102" s="294">
        <v>1560</v>
      </c>
      <c r="R102" s="294">
        <v>1560</v>
      </c>
      <c r="S102" s="294">
        <v>1562</v>
      </c>
      <c r="T102" s="294">
        <v>1579</v>
      </c>
      <c r="V102" s="72" t="s">
        <v>145</v>
      </c>
      <c r="W102" s="294">
        <v>1842.7765079999999</v>
      </c>
      <c r="X102" s="294">
        <v>1839.359954</v>
      </c>
      <c r="Y102" s="294">
        <v>1841</v>
      </c>
      <c r="Z102" s="294">
        <v>1845</v>
      </c>
      <c r="AA102" s="294">
        <v>2190</v>
      </c>
      <c r="AB102" s="294">
        <v>2184</v>
      </c>
    </row>
    <row r="103" spans="2:28" ht="15.6">
      <c r="B103" s="72" t="s">
        <v>68</v>
      </c>
      <c r="C103" s="107">
        <v>17730</v>
      </c>
      <c r="D103" s="107">
        <v>19144</v>
      </c>
      <c r="E103" s="107">
        <v>4127</v>
      </c>
      <c r="F103" s="107">
        <v>5694</v>
      </c>
      <c r="G103" s="107">
        <v>6555</v>
      </c>
      <c r="H103" s="107">
        <v>6652</v>
      </c>
      <c r="I103" s="107">
        <v>5184</v>
      </c>
      <c r="J103" s="107">
        <v>5827</v>
      </c>
      <c r="K103" s="107">
        <v>5445</v>
      </c>
      <c r="L103" s="107">
        <v>7489</v>
      </c>
      <c r="M103" s="107">
        <v>5693</v>
      </c>
      <c r="N103" s="107">
        <v>7000</v>
      </c>
      <c r="O103" s="107">
        <v>6344</v>
      </c>
      <c r="P103" s="298">
        <v>6663</v>
      </c>
      <c r="Q103" s="294">
        <v>6302</v>
      </c>
      <c r="R103" s="294">
        <v>7015</v>
      </c>
      <c r="S103" s="294">
        <v>6512</v>
      </c>
      <c r="T103" s="294">
        <v>8628</v>
      </c>
      <c r="V103" s="72" t="s">
        <v>68</v>
      </c>
      <c r="W103" s="294">
        <v>7705.5847350000004</v>
      </c>
      <c r="X103" s="294">
        <v>9105.1047120000003</v>
      </c>
      <c r="Y103" s="294">
        <v>10542</v>
      </c>
      <c r="Z103" s="294">
        <v>13315</v>
      </c>
      <c r="AA103" s="294">
        <v>14203</v>
      </c>
      <c r="AB103" s="294">
        <v>14095</v>
      </c>
    </row>
    <row r="104" spans="2:28" ht="15.6">
      <c r="B104" s="72" t="s">
        <v>69</v>
      </c>
      <c r="C104" s="107">
        <v>1094702</v>
      </c>
      <c r="D104" s="107">
        <v>1054887</v>
      </c>
      <c r="E104" s="107">
        <v>262624</v>
      </c>
      <c r="F104" s="107">
        <v>269268</v>
      </c>
      <c r="G104" s="107">
        <v>275919</v>
      </c>
      <c r="H104" s="107">
        <v>283929</v>
      </c>
      <c r="I104" s="107">
        <v>279650</v>
      </c>
      <c r="J104" s="107">
        <v>287769</v>
      </c>
      <c r="K104" s="107">
        <v>302186</v>
      </c>
      <c r="L104" s="107">
        <v>305298</v>
      </c>
      <c r="M104" s="107">
        <v>312532</v>
      </c>
      <c r="N104" s="107">
        <v>316528</v>
      </c>
      <c r="O104" s="107">
        <v>322980</v>
      </c>
      <c r="P104" s="298">
        <v>330632</v>
      </c>
      <c r="Q104" s="294">
        <v>325388</v>
      </c>
      <c r="R104" s="294">
        <v>343138</v>
      </c>
      <c r="S104" s="294">
        <v>357680</v>
      </c>
      <c r="T104" s="294">
        <v>405799</v>
      </c>
      <c r="V104" s="72" t="s">
        <v>69</v>
      </c>
      <c r="W104" s="294">
        <v>431807.54219300003</v>
      </c>
      <c r="X104" s="294">
        <v>460159.74594800005</v>
      </c>
      <c r="Y104" s="294">
        <v>495424</v>
      </c>
      <c r="Z104" s="294">
        <v>460580</v>
      </c>
      <c r="AA104" s="294">
        <f>(-101467-387916)*-1</f>
        <v>489383</v>
      </c>
      <c r="AB104" s="294">
        <v>494253</v>
      </c>
    </row>
    <row r="105" spans="2:28" ht="15.6">
      <c r="B105" s="74" t="s">
        <v>147</v>
      </c>
      <c r="C105" s="108">
        <v>63483</v>
      </c>
      <c r="D105" s="108">
        <v>48831</v>
      </c>
      <c r="E105" s="108">
        <v>11856</v>
      </c>
      <c r="F105" s="108">
        <v>12313</v>
      </c>
      <c r="G105" s="108">
        <v>12728</v>
      </c>
      <c r="H105" s="108">
        <v>11099</v>
      </c>
      <c r="I105" s="108">
        <v>12084</v>
      </c>
      <c r="J105" s="108">
        <v>13316</v>
      </c>
      <c r="K105" s="108">
        <v>9952</v>
      </c>
      <c r="L105" s="108">
        <v>13059</v>
      </c>
      <c r="M105" s="108">
        <v>13750</v>
      </c>
      <c r="N105" s="108">
        <v>16165</v>
      </c>
      <c r="O105" s="108">
        <v>13946</v>
      </c>
      <c r="P105" s="300">
        <v>8791</v>
      </c>
      <c r="Q105" s="295">
        <v>14752</v>
      </c>
      <c r="R105" s="295">
        <v>15491</v>
      </c>
      <c r="S105" s="295">
        <v>15621</v>
      </c>
      <c r="T105" s="295">
        <f>+SUM(T99:T103)-T104</f>
        <v>13205</v>
      </c>
      <c r="V105" s="72" t="s">
        <v>71</v>
      </c>
      <c r="W105" s="294">
        <v>1129.4228969999999</v>
      </c>
      <c r="X105" s="294">
        <v>1167.2249219999999</v>
      </c>
      <c r="Y105" s="294">
        <v>376</v>
      </c>
      <c r="Z105" s="294">
        <v>1232</v>
      </c>
      <c r="AA105" s="294">
        <v>5316</v>
      </c>
      <c r="AB105" s="294">
        <v>750</v>
      </c>
    </row>
    <row r="106" spans="2:28" ht="15.6">
      <c r="B106" s="71"/>
      <c r="C106" s="8"/>
      <c r="D106" s="8"/>
      <c r="E106" s="8"/>
      <c r="F106" s="8"/>
      <c r="G106" s="8"/>
      <c r="H106" s="8"/>
      <c r="I106" s="8"/>
      <c r="J106" s="8"/>
      <c r="K106" s="8"/>
      <c r="L106" s="8"/>
      <c r="M106" s="8"/>
      <c r="N106" s="8"/>
      <c r="O106" s="8"/>
      <c r="P106" s="301"/>
      <c r="Q106" s="296"/>
      <c r="R106" s="296"/>
      <c r="S106" s="296">
        <v>0</v>
      </c>
      <c r="T106" s="522"/>
      <c r="V106" s="74" t="s">
        <v>148</v>
      </c>
      <c r="W106" s="295">
        <v>18346.986996999982</v>
      </c>
      <c r="X106" s="295">
        <v>19530.515759999889</v>
      </c>
      <c r="Y106" s="295">
        <v>18390</v>
      </c>
      <c r="Z106" s="295">
        <v>20819</v>
      </c>
      <c r="AA106" s="109">
        <f>SUM(AA99:AA103)-AA104-AA105</f>
        <v>17970</v>
      </c>
      <c r="AB106" s="109">
        <f>SUM(AB99:AB103)-SUM(AB104:AB105)</f>
        <v>17235</v>
      </c>
    </row>
    <row r="107" spans="2:28" ht="15.6">
      <c r="B107" s="72" t="s">
        <v>71</v>
      </c>
      <c r="C107" s="107">
        <v>20860</v>
      </c>
      <c r="D107" s="107">
        <v>6255</v>
      </c>
      <c r="E107" s="107">
        <v>786</v>
      </c>
      <c r="F107" s="107">
        <v>776</v>
      </c>
      <c r="G107" s="107">
        <v>1529</v>
      </c>
      <c r="H107" s="107">
        <v>380</v>
      </c>
      <c r="I107" s="107">
        <v>699</v>
      </c>
      <c r="J107" s="107">
        <v>856</v>
      </c>
      <c r="K107" s="107">
        <v>1047</v>
      </c>
      <c r="L107" s="107">
        <v>-21</v>
      </c>
      <c r="M107" s="107">
        <v>1031</v>
      </c>
      <c r="N107" s="107">
        <v>711</v>
      </c>
      <c r="O107" s="107">
        <v>943</v>
      </c>
      <c r="P107" s="298">
        <v>-3416</v>
      </c>
      <c r="Q107" s="294">
        <v>1273</v>
      </c>
      <c r="R107" s="294">
        <v>1121</v>
      </c>
      <c r="S107" s="294">
        <v>38</v>
      </c>
      <c r="T107" s="294">
        <f>-1936</f>
        <v>-1936</v>
      </c>
      <c r="W107" s="294"/>
      <c r="X107" s="294"/>
      <c r="Y107" s="294"/>
      <c r="Z107" s="294"/>
      <c r="AA107" s="294"/>
      <c r="AB107" s="294"/>
    </row>
    <row r="108" spans="2:28" ht="15.6">
      <c r="B108" s="72" t="s">
        <v>74</v>
      </c>
      <c r="C108" s="107">
        <v>0</v>
      </c>
      <c r="D108" s="107">
        <v>0</v>
      </c>
      <c r="E108" s="107">
        <v>0</v>
      </c>
      <c r="F108" s="107">
        <v>0</v>
      </c>
      <c r="G108" s="107">
        <v>0</v>
      </c>
      <c r="H108" s="107">
        <v>0</v>
      </c>
      <c r="I108" s="107">
        <v>0</v>
      </c>
      <c r="J108" s="107">
        <v>0</v>
      </c>
      <c r="K108" s="107">
        <v>0</v>
      </c>
      <c r="L108" s="107">
        <v>0</v>
      </c>
      <c r="M108" s="107">
        <v>0</v>
      </c>
      <c r="N108" s="107">
        <v>0</v>
      </c>
      <c r="O108" s="107">
        <v>0</v>
      </c>
      <c r="P108" s="299" t="s">
        <v>159</v>
      </c>
      <c r="Q108" s="253" t="s">
        <v>160</v>
      </c>
      <c r="R108" s="253" t="s">
        <v>160</v>
      </c>
      <c r="S108" s="253" t="s">
        <v>160</v>
      </c>
      <c r="T108" s="253">
        <v>0</v>
      </c>
      <c r="V108" s="506" t="s">
        <v>74</v>
      </c>
      <c r="W108" s="294">
        <v>0</v>
      </c>
      <c r="X108" s="294">
        <v>0</v>
      </c>
      <c r="Y108" s="294">
        <v>0</v>
      </c>
      <c r="Z108" s="294">
        <v>0</v>
      </c>
      <c r="AA108" s="728">
        <v>0</v>
      </c>
      <c r="AB108" s="728">
        <v>0</v>
      </c>
    </row>
    <row r="109" spans="2:28" ht="15.6">
      <c r="B109" s="72" t="s">
        <v>75</v>
      </c>
      <c r="C109" s="107">
        <v>778</v>
      </c>
      <c r="D109" s="107">
        <v>1175</v>
      </c>
      <c r="E109" s="107">
        <v>293</v>
      </c>
      <c r="F109" s="107">
        <v>299</v>
      </c>
      <c r="G109" s="107">
        <v>358</v>
      </c>
      <c r="H109" s="107">
        <v>438</v>
      </c>
      <c r="I109" s="107">
        <v>308</v>
      </c>
      <c r="J109" s="107">
        <v>302</v>
      </c>
      <c r="K109" s="107">
        <v>1921</v>
      </c>
      <c r="L109" s="107">
        <v>350</v>
      </c>
      <c r="M109" s="107">
        <v>316</v>
      </c>
      <c r="N109" s="107">
        <v>-1220</v>
      </c>
      <c r="O109" s="107">
        <v>197</v>
      </c>
      <c r="P109" s="299">
        <v>-23</v>
      </c>
      <c r="Q109" s="253">
        <v>497</v>
      </c>
      <c r="R109" s="253">
        <v>352</v>
      </c>
      <c r="S109" s="253">
        <v>185</v>
      </c>
      <c r="T109" s="253">
        <v>320</v>
      </c>
      <c r="V109" s="72" t="s">
        <v>75</v>
      </c>
      <c r="W109" s="294">
        <v>418.43349899999998</v>
      </c>
      <c r="X109" s="294">
        <v>120.30625999999995</v>
      </c>
      <c r="Y109" s="294">
        <v>609</v>
      </c>
      <c r="Z109" s="294">
        <v>-3710</v>
      </c>
      <c r="AA109" s="107">
        <v>444</v>
      </c>
      <c r="AB109" s="107">
        <v>564</v>
      </c>
    </row>
    <row r="110" spans="2:28" ht="15.6">
      <c r="B110" s="74" t="s">
        <v>76</v>
      </c>
      <c r="C110" s="109">
        <v>43401</v>
      </c>
      <c r="D110" s="109">
        <v>43751</v>
      </c>
      <c r="E110" s="109">
        <v>11363</v>
      </c>
      <c r="F110" s="109">
        <v>11836</v>
      </c>
      <c r="G110" s="109">
        <v>11557</v>
      </c>
      <c r="H110" s="109">
        <v>11157</v>
      </c>
      <c r="I110" s="109">
        <v>11693</v>
      </c>
      <c r="J110" s="109">
        <v>12762</v>
      </c>
      <c r="K110" s="109">
        <v>10826</v>
      </c>
      <c r="L110" s="109">
        <v>13430</v>
      </c>
      <c r="M110" s="109">
        <v>13035</v>
      </c>
      <c r="N110" s="109">
        <v>14234</v>
      </c>
      <c r="O110" s="109">
        <v>13200</v>
      </c>
      <c r="P110" s="300">
        <v>12184</v>
      </c>
      <c r="Q110" s="295">
        <v>13976</v>
      </c>
      <c r="R110" s="295">
        <v>14722</v>
      </c>
      <c r="S110" s="295">
        <v>223</v>
      </c>
      <c r="T110" s="295">
        <v>15461</v>
      </c>
      <c r="V110" s="74" t="s">
        <v>76</v>
      </c>
      <c r="W110" s="295">
        <v>18765.420495999981</v>
      </c>
      <c r="X110" s="295">
        <v>19650.822019999887</v>
      </c>
      <c r="Y110" s="295">
        <v>18999</v>
      </c>
      <c r="Z110" s="295">
        <v>17109</v>
      </c>
      <c r="AA110" s="295">
        <f>+AA106+AA108+AA109</f>
        <v>18414</v>
      </c>
      <c r="AB110" s="295">
        <v>17799</v>
      </c>
    </row>
    <row r="111" spans="2:28" ht="15.6">
      <c r="B111" s="72"/>
      <c r="C111" s="107"/>
      <c r="D111" s="107"/>
      <c r="E111" s="107"/>
      <c r="F111" s="107"/>
      <c r="G111" s="107"/>
      <c r="H111" s="107"/>
      <c r="I111" s="107"/>
      <c r="J111" s="107"/>
      <c r="K111" s="107"/>
      <c r="L111" s="107"/>
      <c r="M111" s="107"/>
      <c r="N111" s="107"/>
      <c r="O111" s="107"/>
      <c r="P111" s="299"/>
      <c r="Q111" s="253"/>
      <c r="R111" s="253"/>
      <c r="S111" s="253">
        <v>0</v>
      </c>
      <c r="T111" s="294"/>
      <c r="W111" s="294"/>
      <c r="X111" s="294"/>
      <c r="Y111" s="294"/>
      <c r="Z111" s="294"/>
      <c r="AA111" s="294"/>
      <c r="AB111" s="294"/>
    </row>
    <row r="112" spans="2:28" ht="15.6">
      <c r="B112" s="72" t="s">
        <v>77</v>
      </c>
      <c r="C112" s="107">
        <v>236</v>
      </c>
      <c r="D112" s="107">
        <v>-1324</v>
      </c>
      <c r="E112" s="107">
        <v>-470</v>
      </c>
      <c r="F112" s="107">
        <v>-1010</v>
      </c>
      <c r="G112" s="107">
        <v>-442</v>
      </c>
      <c r="H112" s="107">
        <v>-246</v>
      </c>
      <c r="I112" s="107">
        <v>-725</v>
      </c>
      <c r="J112" s="107">
        <v>-1309</v>
      </c>
      <c r="K112" s="107">
        <v>207</v>
      </c>
      <c r="L112" s="107">
        <v>-1470</v>
      </c>
      <c r="M112" s="107">
        <v>-548</v>
      </c>
      <c r="N112" s="107">
        <v>-1022</v>
      </c>
      <c r="O112" s="107">
        <v>-255</v>
      </c>
      <c r="P112" s="299">
        <v>-188</v>
      </c>
      <c r="Q112" s="253">
        <v>-914</v>
      </c>
      <c r="R112" s="253">
        <v>-1205</v>
      </c>
      <c r="S112" s="253">
        <v>-1843</v>
      </c>
      <c r="T112" s="294">
        <v>508</v>
      </c>
      <c r="V112" s="72" t="s">
        <v>77</v>
      </c>
      <c r="W112" s="294">
        <v>-797.62543500000004</v>
      </c>
      <c r="X112" s="294">
        <v>-848.90028499999983</v>
      </c>
      <c r="Y112" s="294">
        <v>273</v>
      </c>
      <c r="Z112" s="294">
        <v>-39</v>
      </c>
      <c r="AA112" s="294">
        <v>1178</v>
      </c>
      <c r="AB112" s="294">
        <v>1498</v>
      </c>
    </row>
    <row r="113" spans="1:28" ht="15.6">
      <c r="B113" s="74" t="s">
        <v>78</v>
      </c>
      <c r="C113" s="109">
        <v>43637</v>
      </c>
      <c r="D113" s="109">
        <v>42427</v>
      </c>
      <c r="E113" s="109">
        <v>10893</v>
      </c>
      <c r="F113" s="109">
        <v>10826</v>
      </c>
      <c r="G113" s="109">
        <v>11115</v>
      </c>
      <c r="H113" s="109">
        <v>10911</v>
      </c>
      <c r="I113" s="109">
        <v>10968</v>
      </c>
      <c r="J113" s="109">
        <v>11453</v>
      </c>
      <c r="K113" s="109">
        <v>11033</v>
      </c>
      <c r="L113" s="109">
        <v>11960</v>
      </c>
      <c r="M113" s="109">
        <v>12487</v>
      </c>
      <c r="N113" s="109">
        <v>13212</v>
      </c>
      <c r="O113" s="109">
        <v>12945</v>
      </c>
      <c r="P113" s="300">
        <v>11996</v>
      </c>
      <c r="Q113" s="295">
        <v>13062</v>
      </c>
      <c r="R113" s="295">
        <v>13518</v>
      </c>
      <c r="S113" s="295">
        <v>14002</v>
      </c>
      <c r="T113" s="295">
        <v>15969</v>
      </c>
      <c r="V113" s="74" t="s">
        <v>78</v>
      </c>
      <c r="W113" s="295">
        <v>17967.795060999979</v>
      </c>
      <c r="X113" s="295">
        <v>18801.921734999891</v>
      </c>
      <c r="Y113" s="295">
        <v>19272</v>
      </c>
      <c r="Z113" s="295">
        <v>17070</v>
      </c>
      <c r="AA113" s="295">
        <f>+AA110+AA112</f>
        <v>19592</v>
      </c>
      <c r="AB113" s="295">
        <v>19297</v>
      </c>
    </row>
    <row r="114" spans="1:28" ht="15.6">
      <c r="B114" s="71"/>
      <c r="C114" s="8"/>
      <c r="D114" s="8"/>
      <c r="E114" s="8"/>
      <c r="F114" s="8"/>
      <c r="G114" s="8"/>
      <c r="H114" s="8"/>
      <c r="I114" s="8"/>
      <c r="J114" s="8"/>
      <c r="K114" s="8"/>
      <c r="L114" s="8"/>
      <c r="M114" s="8"/>
      <c r="N114" s="8"/>
      <c r="O114" s="8"/>
      <c r="P114" s="301"/>
      <c r="Q114" s="297"/>
      <c r="R114" s="297"/>
      <c r="S114" s="297"/>
      <c r="T114" s="523"/>
      <c r="V114" s="71"/>
      <c r="W114" s="294"/>
      <c r="X114" s="294"/>
      <c r="Y114" s="294"/>
      <c r="Z114" s="294"/>
      <c r="AA114" s="294"/>
      <c r="AB114" s="294"/>
    </row>
    <row r="115" spans="1:28" ht="15.6">
      <c r="B115" s="72" t="s">
        <v>79</v>
      </c>
      <c r="C115" s="107">
        <v>20008</v>
      </c>
      <c r="D115" s="107">
        <v>18005</v>
      </c>
      <c r="E115" s="107">
        <v>4189</v>
      </c>
      <c r="F115" s="107">
        <v>2264</v>
      </c>
      <c r="G115" s="107">
        <v>4363</v>
      </c>
      <c r="H115" s="107">
        <v>6451</v>
      </c>
      <c r="I115" s="107">
        <v>3396</v>
      </c>
      <c r="J115" s="107">
        <v>4552</v>
      </c>
      <c r="K115" s="107">
        <v>2844</v>
      </c>
      <c r="L115" s="107">
        <v>1679</v>
      </c>
      <c r="M115" s="107">
        <v>3913</v>
      </c>
      <c r="N115" s="107">
        <v>8604</v>
      </c>
      <c r="O115" s="107">
        <v>4572</v>
      </c>
      <c r="P115" s="298">
        <v>4127</v>
      </c>
      <c r="Q115" s="294">
        <v>3992</v>
      </c>
      <c r="R115" s="294">
        <v>4622</v>
      </c>
      <c r="S115" s="294">
        <v>600</v>
      </c>
      <c r="T115" s="294">
        <v>9244</v>
      </c>
      <c r="V115" s="72" t="s">
        <v>79</v>
      </c>
      <c r="W115" s="294">
        <v>6689.1911600000003</v>
      </c>
      <c r="X115" s="294">
        <v>6943.181462999999</v>
      </c>
      <c r="Y115" s="294">
        <v>6240</v>
      </c>
      <c r="Z115" s="294">
        <v>5759</v>
      </c>
      <c r="AA115" s="294">
        <v>6877</v>
      </c>
      <c r="AB115" s="294">
        <v>6886</v>
      </c>
    </row>
    <row r="116" spans="1:28" ht="15.6">
      <c r="B116" s="74" t="s">
        <v>82</v>
      </c>
      <c r="C116" s="109">
        <v>23629</v>
      </c>
      <c r="D116" s="109">
        <v>24422</v>
      </c>
      <c r="E116" s="109">
        <v>6704</v>
      </c>
      <c r="F116" s="109">
        <v>8562</v>
      </c>
      <c r="G116" s="109">
        <v>6752</v>
      </c>
      <c r="H116" s="109">
        <v>4460</v>
      </c>
      <c r="I116" s="109">
        <v>7572</v>
      </c>
      <c r="J116" s="109">
        <v>6901</v>
      </c>
      <c r="K116" s="109">
        <v>8189</v>
      </c>
      <c r="L116" s="109">
        <v>10281</v>
      </c>
      <c r="M116" s="109">
        <v>8574</v>
      </c>
      <c r="N116" s="109">
        <v>4608</v>
      </c>
      <c r="O116" s="109">
        <v>8373</v>
      </c>
      <c r="P116" s="300">
        <v>7869</v>
      </c>
      <c r="Q116" s="295">
        <v>9070</v>
      </c>
      <c r="R116" s="295">
        <v>8896</v>
      </c>
      <c r="S116" s="295">
        <v>13402</v>
      </c>
      <c r="T116" s="295">
        <v>6724.5462039997365</v>
      </c>
      <c r="V116" s="74" t="s">
        <v>82</v>
      </c>
      <c r="W116" s="295">
        <v>11278.603900999979</v>
      </c>
      <c r="X116" s="295">
        <v>11858.740271999892</v>
      </c>
      <c r="Y116" s="295">
        <v>13032</v>
      </c>
      <c r="Z116" s="295">
        <v>11311</v>
      </c>
      <c r="AA116" s="295">
        <f>+AA113-AA115</f>
        <v>12715</v>
      </c>
      <c r="AB116" s="295">
        <v>12411</v>
      </c>
    </row>
    <row r="117" spans="1:28" ht="15.6">
      <c r="B117" s="67"/>
      <c r="C117" s="67"/>
      <c r="D117" s="67"/>
      <c r="E117" s="67"/>
      <c r="F117" s="67"/>
      <c r="G117" s="67"/>
      <c r="H117" s="67"/>
      <c r="I117" s="67"/>
      <c r="J117" s="67"/>
      <c r="K117" s="67"/>
      <c r="L117" s="67"/>
      <c r="M117" s="67"/>
      <c r="N117" s="67"/>
      <c r="O117" s="67"/>
      <c r="P117" s="302"/>
      <c r="W117" s="294"/>
      <c r="X117" s="294"/>
      <c r="Y117" s="294"/>
      <c r="Z117" s="294"/>
      <c r="AA117" s="294"/>
      <c r="AB117" s="294"/>
    </row>
    <row r="118" spans="1:28" ht="15.6">
      <c r="B118" s="67"/>
      <c r="C118" s="67"/>
      <c r="D118" s="67"/>
      <c r="E118" s="67"/>
      <c r="F118" s="67"/>
      <c r="G118" s="67"/>
      <c r="H118" s="67"/>
      <c r="I118" s="67"/>
      <c r="J118" s="67"/>
      <c r="K118" s="67"/>
      <c r="L118" s="67"/>
      <c r="M118" s="67"/>
      <c r="N118" s="67"/>
      <c r="O118" s="67"/>
      <c r="P118" s="302"/>
      <c r="V118" s="529" t="s">
        <v>72</v>
      </c>
      <c r="W118" s="295">
        <v>18413</v>
      </c>
      <c r="X118" s="295">
        <v>37711</v>
      </c>
      <c r="Y118" s="295">
        <v>57469.624995115497</v>
      </c>
      <c r="Z118" s="295">
        <v>17581.536211183</v>
      </c>
      <c r="AA118" s="726">
        <v>24229</v>
      </c>
      <c r="AB118" s="726">
        <v>18927.037401025933</v>
      </c>
    </row>
    <row r="119" spans="1:28" ht="15.6">
      <c r="B119" s="67"/>
      <c r="C119" s="67"/>
      <c r="D119" s="67"/>
      <c r="E119" s="67"/>
      <c r="F119" s="67"/>
      <c r="G119" s="67"/>
      <c r="H119" s="67"/>
      <c r="I119" s="67"/>
      <c r="J119" s="67"/>
      <c r="K119" s="67"/>
      <c r="L119" s="67"/>
      <c r="M119" s="67"/>
      <c r="N119" s="67"/>
      <c r="O119" s="67"/>
      <c r="P119" s="302"/>
      <c r="Z119" s="727"/>
    </row>
    <row r="120" spans="1:28" ht="15.6">
      <c r="A120" s="48" t="s">
        <v>137</v>
      </c>
      <c r="B120" s="11" t="s">
        <v>161</v>
      </c>
      <c r="C120" s="68"/>
      <c r="D120" s="68"/>
      <c r="E120" s="68"/>
      <c r="F120" s="68"/>
      <c r="G120" s="68"/>
      <c r="H120" s="77"/>
      <c r="I120" s="77"/>
      <c r="J120" s="77"/>
      <c r="K120" s="77"/>
      <c r="L120" s="77"/>
      <c r="M120" s="77"/>
      <c r="N120" s="77"/>
      <c r="O120" s="77"/>
      <c r="P120" s="302"/>
    </row>
    <row r="121" spans="1:28" ht="15.6">
      <c r="B121" s="13" t="s">
        <v>86</v>
      </c>
      <c r="C121" s="68"/>
      <c r="D121" s="68"/>
      <c r="E121" s="68"/>
      <c r="F121" s="68"/>
      <c r="G121" s="68"/>
      <c r="H121" s="78"/>
      <c r="I121" s="78"/>
      <c r="J121" s="78"/>
      <c r="K121" s="78"/>
      <c r="L121" s="78"/>
      <c r="M121" s="78"/>
      <c r="N121" s="110">
        <v>1000000</v>
      </c>
      <c r="O121" s="110"/>
      <c r="P121" s="302"/>
    </row>
    <row r="122" spans="1:28" ht="15.6">
      <c r="B122" s="79"/>
      <c r="C122" s="68"/>
      <c r="D122" s="68"/>
      <c r="E122" s="68"/>
      <c r="F122" s="68"/>
      <c r="G122" s="68"/>
      <c r="H122" s="79"/>
      <c r="I122" s="79"/>
      <c r="J122" s="79"/>
      <c r="K122" s="79"/>
      <c r="L122" s="79"/>
      <c r="M122" s="79"/>
      <c r="N122" s="68"/>
      <c r="O122" s="68"/>
      <c r="P122" s="302"/>
    </row>
    <row r="123" spans="1:28" ht="16.2" thickBot="1">
      <c r="B123" s="80"/>
      <c r="C123" s="81"/>
      <c r="D123" s="81"/>
      <c r="E123" s="81"/>
      <c r="F123" s="81"/>
      <c r="G123" s="81"/>
      <c r="H123" s="81"/>
      <c r="I123" s="81"/>
      <c r="J123" s="81"/>
      <c r="K123" s="81"/>
      <c r="L123" s="81"/>
      <c r="M123" s="81"/>
      <c r="N123" s="81"/>
      <c r="O123" s="81"/>
      <c r="P123" s="303" t="s">
        <v>162</v>
      </c>
      <c r="Q123" s="254"/>
      <c r="R123" s="254" t="s">
        <v>162</v>
      </c>
      <c r="S123" s="254"/>
      <c r="T123" s="254"/>
      <c r="V123" s="80"/>
      <c r="W123" s="70" t="s">
        <v>87</v>
      </c>
      <c r="X123" s="70" t="s">
        <v>56</v>
      </c>
      <c r="Y123" s="70" t="s">
        <v>57</v>
      </c>
      <c r="Z123" s="70" t="s">
        <v>1154</v>
      </c>
      <c r="AA123" s="70" t="str">
        <f>+AA7</f>
        <v>1T23</v>
      </c>
      <c r="AB123" s="70" t="s">
        <v>1207</v>
      </c>
    </row>
    <row r="124" spans="1:28" ht="16.2" thickBot="1">
      <c r="B124" s="82" t="s">
        <v>88</v>
      </c>
      <c r="C124" s="83"/>
      <c r="D124" s="83"/>
      <c r="E124" s="83"/>
      <c r="F124" s="83"/>
      <c r="G124" s="83"/>
      <c r="H124" s="83"/>
      <c r="I124" s="83"/>
      <c r="J124" s="83"/>
      <c r="K124" s="83"/>
      <c r="L124" s="83"/>
      <c r="M124" s="83"/>
      <c r="N124" s="82"/>
      <c r="O124" s="82"/>
      <c r="P124" s="304" t="s">
        <v>162</v>
      </c>
      <c r="Q124" s="255"/>
      <c r="R124" s="255" t="s">
        <v>162</v>
      </c>
      <c r="S124" s="255"/>
      <c r="T124" s="255"/>
      <c r="V124" s="82" t="s">
        <v>88</v>
      </c>
      <c r="W124" s="255"/>
      <c r="X124" s="255"/>
      <c r="Y124" s="255"/>
      <c r="Z124" s="255"/>
      <c r="AA124" s="255"/>
      <c r="AB124" s="255"/>
    </row>
    <row r="125" spans="1:28" ht="16.2" thickBot="1">
      <c r="B125" s="84" t="s">
        <v>89</v>
      </c>
      <c r="C125" s="85"/>
      <c r="D125" s="85"/>
      <c r="E125" s="85"/>
      <c r="F125" s="85"/>
      <c r="G125" s="85"/>
      <c r="H125" s="85"/>
      <c r="I125" s="85"/>
      <c r="J125" s="85"/>
      <c r="K125" s="85"/>
      <c r="L125" s="85"/>
      <c r="M125" s="85"/>
      <c r="N125" s="85"/>
      <c r="O125" s="85"/>
      <c r="P125" s="305" t="s">
        <v>162</v>
      </c>
      <c r="Q125" s="256"/>
      <c r="R125" s="256" t="s">
        <v>162</v>
      </c>
      <c r="S125" s="256"/>
      <c r="T125" s="256"/>
      <c r="V125" s="84" t="s">
        <v>89</v>
      </c>
      <c r="W125" s="256"/>
      <c r="X125" s="256"/>
      <c r="Y125" s="256"/>
      <c r="Z125" s="256"/>
      <c r="AA125" s="256"/>
      <c r="AB125" s="256"/>
    </row>
    <row r="126" spans="1:28" ht="16.2" thickBot="1">
      <c r="B126" s="86" t="s">
        <v>90</v>
      </c>
      <c r="C126" s="87">
        <v>23319</v>
      </c>
      <c r="D126" s="87">
        <v>9087</v>
      </c>
      <c r="E126" s="87">
        <v>2785</v>
      </c>
      <c r="F126" s="87">
        <v>22853</v>
      </c>
      <c r="G126" s="87">
        <v>15789</v>
      </c>
      <c r="H126" s="87">
        <v>6897</v>
      </c>
      <c r="I126" s="87">
        <v>19708</v>
      </c>
      <c r="J126" s="87">
        <v>14069</v>
      </c>
      <c r="K126" s="87">
        <v>19842</v>
      </c>
      <c r="L126" s="87">
        <v>15917</v>
      </c>
      <c r="M126" s="87">
        <v>27931</v>
      </c>
      <c r="N126" s="87">
        <v>28816</v>
      </c>
      <c r="O126" s="87">
        <v>13300</v>
      </c>
      <c r="P126" s="306">
        <v>24596</v>
      </c>
      <c r="Q126" s="306">
        <v>15080</v>
      </c>
      <c r="R126" s="306">
        <v>25221</v>
      </c>
      <c r="S126" s="306">
        <v>26043</v>
      </c>
      <c r="T126" s="306">
        <v>19490</v>
      </c>
      <c r="V126" s="86" t="s">
        <v>90</v>
      </c>
      <c r="W126" s="306">
        <v>12663</v>
      </c>
      <c r="X126" s="306">
        <v>26955</v>
      </c>
      <c r="Y126" s="306">
        <v>16619</v>
      </c>
      <c r="Z126" s="306">
        <v>15763</v>
      </c>
      <c r="AA126" s="306">
        <v>14230</v>
      </c>
      <c r="AB126" s="306">
        <v>19255</v>
      </c>
    </row>
    <row r="127" spans="1:28" ht="16.2" thickBot="1">
      <c r="B127" s="86" t="s">
        <v>91</v>
      </c>
      <c r="C127" s="87">
        <v>110464</v>
      </c>
      <c r="D127" s="87">
        <v>115144</v>
      </c>
      <c r="E127" s="87">
        <v>112904</v>
      </c>
      <c r="F127" s="87">
        <v>117435</v>
      </c>
      <c r="G127" s="87">
        <v>119858</v>
      </c>
      <c r="H127" s="87">
        <v>121770</v>
      </c>
      <c r="I127" s="87">
        <v>118333</v>
      </c>
      <c r="J127" s="87">
        <v>124432</v>
      </c>
      <c r="K127" s="87">
        <v>125586</v>
      </c>
      <c r="L127" s="87">
        <v>123153</v>
      </c>
      <c r="M127" s="87">
        <v>129153</v>
      </c>
      <c r="N127" s="87">
        <v>129965</v>
      </c>
      <c r="O127" s="87">
        <v>136029</v>
      </c>
      <c r="P127" s="307">
        <v>135302</v>
      </c>
      <c r="Q127" s="307">
        <v>135755</v>
      </c>
      <c r="R127" s="307">
        <v>139694</v>
      </c>
      <c r="S127" s="307">
        <v>148014</v>
      </c>
      <c r="T127" s="307">
        <v>170285</v>
      </c>
      <c r="V127" s="86" t="s">
        <v>91</v>
      </c>
      <c r="W127" s="307">
        <v>178658</v>
      </c>
      <c r="X127" s="307">
        <v>189714</v>
      </c>
      <c r="Y127" s="307">
        <v>199455</v>
      </c>
      <c r="Z127" s="307">
        <v>222450</v>
      </c>
      <c r="AA127" s="307">
        <v>252401</v>
      </c>
      <c r="AB127" s="307">
        <v>260272</v>
      </c>
    </row>
    <row r="128" spans="1:28" ht="16.2" thickBot="1">
      <c r="B128" s="86" t="s">
        <v>92</v>
      </c>
      <c r="C128" s="87">
        <v>13841</v>
      </c>
      <c r="D128" s="87">
        <v>14865</v>
      </c>
      <c r="E128" s="87">
        <v>20485</v>
      </c>
      <c r="F128" s="87">
        <v>32304</v>
      </c>
      <c r="G128" s="87">
        <v>21822</v>
      </c>
      <c r="H128" s="87">
        <v>8704</v>
      </c>
      <c r="I128" s="87">
        <v>17458</v>
      </c>
      <c r="J128" s="87">
        <v>19192</v>
      </c>
      <c r="K128" s="87">
        <v>23815</v>
      </c>
      <c r="L128" s="87">
        <v>14458</v>
      </c>
      <c r="M128" s="87">
        <v>18479</v>
      </c>
      <c r="N128" s="87">
        <v>16694</v>
      </c>
      <c r="O128" s="87">
        <v>10215</v>
      </c>
      <c r="P128" s="308">
        <v>456</v>
      </c>
      <c r="Q128" s="308">
        <v>4357</v>
      </c>
      <c r="R128" s="308">
        <v>12024</v>
      </c>
      <c r="S128" s="308">
        <v>15150</v>
      </c>
      <c r="T128" s="306">
        <v>214</v>
      </c>
      <c r="V128" s="86" t="s">
        <v>92</v>
      </c>
      <c r="W128" s="306">
        <v>3868</v>
      </c>
      <c r="X128" s="306">
        <v>5685</v>
      </c>
      <c r="Y128" s="306">
        <v>19497</v>
      </c>
      <c r="Z128" s="306">
        <v>706</v>
      </c>
      <c r="AA128" s="306">
        <v>6551</v>
      </c>
      <c r="AB128" s="306">
        <v>21403</v>
      </c>
    </row>
    <row r="129" spans="2:28" ht="16.2" thickBot="1">
      <c r="B129" s="86" t="s">
        <v>93</v>
      </c>
      <c r="C129" s="87">
        <v>3633</v>
      </c>
      <c r="D129" s="87">
        <v>3534</v>
      </c>
      <c r="E129" s="87">
        <v>4103</v>
      </c>
      <c r="F129" s="87">
        <v>4237</v>
      </c>
      <c r="G129" s="87">
        <v>3991</v>
      </c>
      <c r="H129" s="87">
        <v>3702</v>
      </c>
      <c r="I129" s="87">
        <v>3585</v>
      </c>
      <c r="J129" s="87">
        <v>3171</v>
      </c>
      <c r="K129" s="87">
        <v>2788</v>
      </c>
      <c r="L129" s="87">
        <v>2569</v>
      </c>
      <c r="M129" s="87">
        <v>4123</v>
      </c>
      <c r="N129" s="87">
        <v>4010</v>
      </c>
      <c r="O129" s="87">
        <v>3514</v>
      </c>
      <c r="P129" s="307">
        <v>3532</v>
      </c>
      <c r="Q129" s="307">
        <v>3387</v>
      </c>
      <c r="R129" s="307">
        <v>2711</v>
      </c>
      <c r="S129" s="307">
        <v>4073</v>
      </c>
      <c r="T129" s="307">
        <v>3628</v>
      </c>
      <c r="V129" s="86" t="s">
        <v>93</v>
      </c>
      <c r="W129" s="307">
        <v>3194</v>
      </c>
      <c r="X129" s="307">
        <v>4799</v>
      </c>
      <c r="Y129" s="307">
        <v>4284</v>
      </c>
      <c r="Z129" s="307">
        <v>4051</v>
      </c>
      <c r="AA129" s="307">
        <v>3573</v>
      </c>
      <c r="AB129" s="306">
        <v>3405</v>
      </c>
    </row>
    <row r="130" spans="2:28" ht="16.2" thickBot="1">
      <c r="B130" s="86" t="s">
        <v>94</v>
      </c>
      <c r="C130" s="87">
        <v>3857</v>
      </c>
      <c r="D130" s="87">
        <v>4854</v>
      </c>
      <c r="E130" s="87">
        <v>8831</v>
      </c>
      <c r="F130" s="87">
        <v>6503</v>
      </c>
      <c r="G130" s="87">
        <v>7541</v>
      </c>
      <c r="H130" s="87">
        <v>5261</v>
      </c>
      <c r="I130" s="87">
        <v>8878</v>
      </c>
      <c r="J130" s="87">
        <v>6792</v>
      </c>
      <c r="K130" s="87">
        <v>8037</v>
      </c>
      <c r="L130" s="87">
        <v>6682</v>
      </c>
      <c r="M130" s="87">
        <v>9686</v>
      </c>
      <c r="N130" s="87">
        <v>8342</v>
      </c>
      <c r="O130" s="87">
        <v>16229</v>
      </c>
      <c r="P130" s="308" t="s">
        <v>163</v>
      </c>
      <c r="Q130" s="308">
        <v>16383</v>
      </c>
      <c r="R130" s="308">
        <v>10199</v>
      </c>
      <c r="S130" s="308">
        <v>17538</v>
      </c>
      <c r="T130" s="524">
        <v>14192</v>
      </c>
      <c r="V130" s="86" t="s">
        <v>94</v>
      </c>
      <c r="W130" s="524">
        <v>25565</v>
      </c>
      <c r="X130" s="524">
        <v>15362</v>
      </c>
      <c r="Y130" s="524">
        <v>16714</v>
      </c>
      <c r="Z130" s="524">
        <v>13453</v>
      </c>
      <c r="AA130" s="524">
        <v>15017</v>
      </c>
      <c r="AB130" s="306">
        <v>22358</v>
      </c>
    </row>
    <row r="131" spans="2:28" ht="16.2" thickBot="1">
      <c r="B131" s="86" t="s">
        <v>95</v>
      </c>
      <c r="C131" s="87">
        <v>0</v>
      </c>
      <c r="D131" s="87">
        <v>0</v>
      </c>
      <c r="E131" s="87">
        <v>0</v>
      </c>
      <c r="F131" s="87">
        <v>0</v>
      </c>
      <c r="G131" s="87">
        <v>0</v>
      </c>
      <c r="H131" s="87">
        <v>0</v>
      </c>
      <c r="I131" s="87">
        <v>0</v>
      </c>
      <c r="J131" s="87">
        <v>0</v>
      </c>
      <c r="K131" s="87">
        <v>0</v>
      </c>
      <c r="L131" s="87">
        <v>0</v>
      </c>
      <c r="M131" s="87">
        <v>0</v>
      </c>
      <c r="N131" s="87">
        <v>0</v>
      </c>
      <c r="O131" s="87">
        <v>0</v>
      </c>
      <c r="P131" s="308" t="s">
        <v>159</v>
      </c>
      <c r="Q131" s="308" t="s">
        <v>160</v>
      </c>
      <c r="R131" s="308" t="s">
        <v>160</v>
      </c>
      <c r="S131" s="308">
        <v>0</v>
      </c>
      <c r="T131" s="525">
        <v>0</v>
      </c>
      <c r="V131" s="86" t="s">
        <v>95</v>
      </c>
      <c r="W131" s="525"/>
      <c r="X131" s="525">
        <v>0</v>
      </c>
      <c r="Y131" s="525"/>
      <c r="Z131" s="525"/>
      <c r="AA131" s="525"/>
      <c r="AB131" s="730"/>
    </row>
    <row r="132" spans="2:28" ht="16.2" thickBot="1">
      <c r="B132" s="88" t="s">
        <v>96</v>
      </c>
      <c r="C132" s="89">
        <v>155114</v>
      </c>
      <c r="D132" s="89">
        <v>147484</v>
      </c>
      <c r="E132" s="89">
        <v>149108</v>
      </c>
      <c r="F132" s="89">
        <v>183332</v>
      </c>
      <c r="G132" s="89">
        <v>169001</v>
      </c>
      <c r="H132" s="89">
        <v>146334</v>
      </c>
      <c r="I132" s="89">
        <v>167962</v>
      </c>
      <c r="J132" s="89">
        <v>167656</v>
      </c>
      <c r="K132" s="89">
        <v>180068</v>
      </c>
      <c r="L132" s="89">
        <v>162779</v>
      </c>
      <c r="M132" s="89">
        <v>189372</v>
      </c>
      <c r="N132" s="89">
        <v>187827</v>
      </c>
      <c r="O132" s="89">
        <v>179287</v>
      </c>
      <c r="P132" s="309">
        <v>176126</v>
      </c>
      <c r="Q132" s="309">
        <v>174962</v>
      </c>
      <c r="R132" s="309">
        <v>189850</v>
      </c>
      <c r="S132" s="309">
        <v>210818</v>
      </c>
      <c r="T132" s="309">
        <v>207809</v>
      </c>
      <c r="V132" s="88" t="s">
        <v>96</v>
      </c>
      <c r="W132" s="309">
        <v>223948</v>
      </c>
      <c r="X132" s="309">
        <v>242515</v>
      </c>
      <c r="Y132" s="309">
        <v>256569</v>
      </c>
      <c r="Z132" s="309">
        <f>SUM(Z126:Z130)</f>
        <v>256423</v>
      </c>
      <c r="AA132" s="309">
        <f>SUM(AA126:AA130)</f>
        <v>291772</v>
      </c>
      <c r="AB132" s="731">
        <v>326693</v>
      </c>
    </row>
    <row r="133" spans="2:28" ht="16.2" thickBot="1">
      <c r="B133" s="84" t="s">
        <v>97</v>
      </c>
      <c r="C133" s="85"/>
      <c r="D133" s="85"/>
      <c r="E133" s="85"/>
      <c r="F133" s="85"/>
      <c r="G133" s="85"/>
      <c r="H133" s="85"/>
      <c r="I133" s="85"/>
      <c r="J133" s="85"/>
      <c r="K133" s="85"/>
      <c r="L133" s="85"/>
      <c r="M133" s="85"/>
      <c r="N133" s="85"/>
      <c r="O133" s="85"/>
      <c r="P133" s="305" t="s">
        <v>162</v>
      </c>
      <c r="Q133" s="305" t="s">
        <v>162</v>
      </c>
      <c r="R133" s="305" t="s">
        <v>162</v>
      </c>
      <c r="S133" s="305">
        <v>0</v>
      </c>
      <c r="T133" s="305"/>
      <c r="V133" s="84" t="s">
        <v>97</v>
      </c>
      <c r="W133" s="305"/>
      <c r="X133" s="305"/>
      <c r="Y133" s="305"/>
      <c r="Z133" s="305"/>
      <c r="AA133" s="305"/>
      <c r="AB133" s="305"/>
    </row>
    <row r="134" spans="2:28" ht="16.2" thickBot="1">
      <c r="B134" s="86" t="s">
        <v>98</v>
      </c>
      <c r="C134" s="87">
        <v>0</v>
      </c>
      <c r="D134" s="87">
        <v>0</v>
      </c>
      <c r="E134" s="87">
        <v>0</v>
      </c>
      <c r="F134" s="87">
        <v>4100</v>
      </c>
      <c r="G134" s="87">
        <v>0</v>
      </c>
      <c r="H134" s="87">
        <v>0</v>
      </c>
      <c r="I134" s="87">
        <v>0</v>
      </c>
      <c r="J134" s="87">
        <v>0</v>
      </c>
      <c r="K134" s="87">
        <v>0</v>
      </c>
      <c r="L134" s="87">
        <v>0</v>
      </c>
      <c r="M134" s="87">
        <v>0</v>
      </c>
      <c r="N134" s="87">
        <v>0</v>
      </c>
      <c r="O134" s="87">
        <v>0</v>
      </c>
      <c r="P134" s="310" t="s">
        <v>159</v>
      </c>
      <c r="Q134" s="310" t="s">
        <v>160</v>
      </c>
      <c r="R134" s="310" t="s">
        <v>162</v>
      </c>
      <c r="S134" s="310">
        <v>0</v>
      </c>
      <c r="T134" s="525">
        <v>0</v>
      </c>
      <c r="V134" s="86" t="s">
        <v>98</v>
      </c>
      <c r="W134" s="525">
        <v>0</v>
      </c>
      <c r="X134" s="525">
        <v>0</v>
      </c>
      <c r="Y134" s="525">
        <v>8400</v>
      </c>
      <c r="Z134" s="525">
        <v>8400</v>
      </c>
      <c r="AA134" s="525">
        <v>8355</v>
      </c>
      <c r="AB134" s="525">
        <v>9295</v>
      </c>
    </row>
    <row r="135" spans="2:28" ht="16.2" thickBot="1">
      <c r="B135" s="86" t="s">
        <v>91</v>
      </c>
      <c r="C135" s="87">
        <v>12703</v>
      </c>
      <c r="D135" s="87">
        <v>8145</v>
      </c>
      <c r="E135" s="87">
        <v>8834</v>
      </c>
      <c r="F135" s="87">
        <v>8901</v>
      </c>
      <c r="G135" s="87">
        <v>12927</v>
      </c>
      <c r="H135" s="87">
        <v>12138</v>
      </c>
      <c r="I135" s="87">
        <v>17314</v>
      </c>
      <c r="J135" s="87">
        <v>17776</v>
      </c>
      <c r="K135" s="87">
        <v>18126</v>
      </c>
      <c r="L135" s="87">
        <v>13711</v>
      </c>
      <c r="M135" s="87">
        <v>18066</v>
      </c>
      <c r="N135" s="87">
        <v>18557</v>
      </c>
      <c r="O135" s="87">
        <v>19417</v>
      </c>
      <c r="P135" s="307">
        <v>14997</v>
      </c>
      <c r="Q135" s="307">
        <v>16702</v>
      </c>
      <c r="R135" s="307">
        <v>20761</v>
      </c>
      <c r="S135" s="307">
        <v>17556</v>
      </c>
      <c r="T135" s="524">
        <v>17420</v>
      </c>
      <c r="V135" s="86" t="s">
        <v>91</v>
      </c>
      <c r="W135" s="524">
        <v>17354</v>
      </c>
      <c r="X135" s="524">
        <v>19917</v>
      </c>
      <c r="Y135" s="524">
        <v>21662</v>
      </c>
      <c r="Z135" s="524">
        <v>35995</v>
      </c>
      <c r="AA135" s="524">
        <v>39013</v>
      </c>
      <c r="AB135" s="524">
        <v>39658</v>
      </c>
    </row>
    <row r="136" spans="2:28" ht="16.2" thickBot="1">
      <c r="B136" s="86" t="s">
        <v>102</v>
      </c>
      <c r="C136" s="87">
        <v>42971</v>
      </c>
      <c r="D136" s="87">
        <v>44251</v>
      </c>
      <c r="E136" s="87">
        <v>44424</v>
      </c>
      <c r="F136" s="87">
        <v>44630</v>
      </c>
      <c r="G136" s="87">
        <v>43913</v>
      </c>
      <c r="H136" s="87">
        <v>43832</v>
      </c>
      <c r="I136" s="87">
        <v>44360</v>
      </c>
      <c r="J136" s="87">
        <v>45253</v>
      </c>
      <c r="K136" s="87">
        <v>45490</v>
      </c>
      <c r="L136" s="87">
        <v>46255</v>
      </c>
      <c r="M136" s="87">
        <v>46184</v>
      </c>
      <c r="N136" s="87">
        <v>46417</v>
      </c>
      <c r="O136" s="87">
        <v>47291</v>
      </c>
      <c r="P136" s="307">
        <v>51017</v>
      </c>
      <c r="Q136" s="307">
        <v>49476</v>
      </c>
      <c r="R136" s="307">
        <v>49779</v>
      </c>
      <c r="S136" s="307">
        <v>51393</v>
      </c>
      <c r="T136" s="524">
        <v>52373</v>
      </c>
      <c r="V136" s="86" t="s">
        <v>102</v>
      </c>
      <c r="W136" s="524">
        <v>53249</v>
      </c>
      <c r="X136" s="524">
        <v>53048</v>
      </c>
      <c r="Y136" s="524">
        <v>54443</v>
      </c>
      <c r="Z136" s="524">
        <v>54308</v>
      </c>
      <c r="AA136" s="524">
        <v>52997</v>
      </c>
      <c r="AB136" s="524">
        <v>53507</v>
      </c>
    </row>
    <row r="137" spans="2:28" ht="16.2" thickBot="1">
      <c r="B137" s="86" t="s">
        <v>164</v>
      </c>
      <c r="C137" s="87">
        <v>0</v>
      </c>
      <c r="D137" s="87">
        <v>0</v>
      </c>
      <c r="E137" s="87">
        <v>0</v>
      </c>
      <c r="F137" s="87">
        <v>0</v>
      </c>
      <c r="G137" s="87">
        <v>10</v>
      </c>
      <c r="H137" s="87">
        <v>0</v>
      </c>
      <c r="I137" s="87">
        <v>14</v>
      </c>
      <c r="J137" s="87">
        <v>21</v>
      </c>
      <c r="K137" s="87">
        <v>103</v>
      </c>
      <c r="L137" s="87">
        <v>0</v>
      </c>
      <c r="M137" s="87">
        <v>0</v>
      </c>
      <c r="N137" s="87">
        <v>0</v>
      </c>
      <c r="O137" s="87">
        <v>0</v>
      </c>
      <c r="P137" s="308" t="s">
        <v>159</v>
      </c>
      <c r="Q137" s="308" t="s">
        <v>162</v>
      </c>
      <c r="R137" s="308" t="s">
        <v>160</v>
      </c>
      <c r="S137" s="308">
        <v>0</v>
      </c>
      <c r="T137" s="526">
        <v>0</v>
      </c>
      <c r="V137" s="86" t="s">
        <v>164</v>
      </c>
      <c r="W137" s="526">
        <v>0</v>
      </c>
      <c r="X137" s="526">
        <v>0</v>
      </c>
      <c r="Y137" s="526">
        <v>0</v>
      </c>
      <c r="Z137" s="526">
        <v>0</v>
      </c>
      <c r="AA137" s="526">
        <v>0</v>
      </c>
      <c r="AB137" s="526">
        <v>0</v>
      </c>
    </row>
    <row r="138" spans="2:28" ht="16.2" thickBot="1">
      <c r="B138" s="86" t="s">
        <v>107</v>
      </c>
      <c r="C138" s="87">
        <v>24830</v>
      </c>
      <c r="D138" s="87">
        <v>28316</v>
      </c>
      <c r="E138" s="87">
        <v>28970</v>
      </c>
      <c r="F138" s="87">
        <v>29540</v>
      </c>
      <c r="G138" s="87">
        <v>29754</v>
      </c>
      <c r="H138" s="87">
        <v>25198</v>
      </c>
      <c r="I138" s="87">
        <v>25894</v>
      </c>
      <c r="J138" s="87">
        <v>26427</v>
      </c>
      <c r="K138" s="87">
        <v>27082</v>
      </c>
      <c r="L138" s="87">
        <v>25903</v>
      </c>
      <c r="M138" s="87">
        <v>26585</v>
      </c>
      <c r="N138" s="87">
        <v>27177</v>
      </c>
      <c r="O138" s="87">
        <v>25846</v>
      </c>
      <c r="P138" s="308" t="s">
        <v>165</v>
      </c>
      <c r="Q138" s="308">
        <v>25469</v>
      </c>
      <c r="R138" s="308">
        <v>25500</v>
      </c>
      <c r="S138" s="308">
        <v>29751</v>
      </c>
      <c r="T138" s="524">
        <v>1400</v>
      </c>
      <c r="V138" s="86" t="s">
        <v>107</v>
      </c>
      <c r="W138" s="524">
        <v>1448</v>
      </c>
      <c r="X138" s="524">
        <v>1488</v>
      </c>
      <c r="Y138" s="524">
        <v>1524</v>
      </c>
      <c r="Z138" s="524">
        <v>1014</v>
      </c>
      <c r="AA138" s="524">
        <v>1065</v>
      </c>
      <c r="AB138" s="524">
        <v>1111</v>
      </c>
    </row>
    <row r="139" spans="2:28" ht="16.2" thickBot="1">
      <c r="B139" s="86" t="s">
        <v>166</v>
      </c>
      <c r="C139" s="87">
        <v>0</v>
      </c>
      <c r="D139" s="87">
        <v>0</v>
      </c>
      <c r="E139" s="87">
        <v>0</v>
      </c>
      <c r="F139" s="87">
        <v>0</v>
      </c>
      <c r="G139" s="87">
        <v>0</v>
      </c>
      <c r="H139" s="87">
        <v>4100</v>
      </c>
      <c r="I139" s="87">
        <v>0</v>
      </c>
      <c r="J139" s="87">
        <v>0</v>
      </c>
      <c r="K139" s="87">
        <v>0</v>
      </c>
      <c r="L139" s="87">
        <v>4100</v>
      </c>
      <c r="M139" s="87">
        <v>647</v>
      </c>
      <c r="N139" s="87">
        <v>706</v>
      </c>
      <c r="O139" s="87">
        <v>0</v>
      </c>
      <c r="P139" s="308" t="s">
        <v>159</v>
      </c>
      <c r="Q139" s="308">
        <v>1477</v>
      </c>
      <c r="R139" s="308">
        <v>1078</v>
      </c>
      <c r="S139" s="308">
        <v>0</v>
      </c>
      <c r="T139" s="526">
        <v>0</v>
      </c>
      <c r="V139" s="86" t="s">
        <v>166</v>
      </c>
      <c r="W139" s="526">
        <v>0</v>
      </c>
      <c r="X139" s="526">
        <v>0</v>
      </c>
      <c r="Y139" s="526">
        <v>0</v>
      </c>
      <c r="Z139" s="526">
        <v>66</v>
      </c>
      <c r="AA139" s="526">
        <v>0</v>
      </c>
      <c r="AB139" s="526">
        <v>0</v>
      </c>
    </row>
    <row r="140" spans="2:28" ht="16.2" thickBot="1">
      <c r="B140" s="86" t="s">
        <v>94</v>
      </c>
      <c r="C140" s="87">
        <v>0</v>
      </c>
      <c r="D140" s="87">
        <v>0</v>
      </c>
      <c r="E140" s="87">
        <v>0</v>
      </c>
      <c r="F140" s="87">
        <v>0</v>
      </c>
      <c r="G140" s="87">
        <v>0</v>
      </c>
      <c r="H140" s="87">
        <v>0</v>
      </c>
      <c r="I140" s="87">
        <v>0</v>
      </c>
      <c r="J140" s="87">
        <v>0</v>
      </c>
      <c r="K140" s="87">
        <v>0</v>
      </c>
      <c r="L140" s="87">
        <v>0</v>
      </c>
      <c r="M140" s="87">
        <v>0</v>
      </c>
      <c r="N140" s="87">
        <v>0</v>
      </c>
      <c r="O140" s="87">
        <v>0</v>
      </c>
      <c r="P140" s="308" t="s">
        <v>159</v>
      </c>
      <c r="Q140" s="308" t="s">
        <v>162</v>
      </c>
      <c r="R140" s="308" t="s">
        <v>160</v>
      </c>
      <c r="S140" s="308">
        <v>0</v>
      </c>
      <c r="T140" s="526">
        <v>0</v>
      </c>
      <c r="V140" s="86" t="s">
        <v>94</v>
      </c>
      <c r="W140" s="526">
        <v>0</v>
      </c>
      <c r="X140" s="526">
        <v>0</v>
      </c>
      <c r="Y140" s="526">
        <v>0</v>
      </c>
      <c r="Z140" s="526">
        <v>0</v>
      </c>
      <c r="AA140" s="729">
        <v>915</v>
      </c>
      <c r="AB140" s="729">
        <v>1192</v>
      </c>
    </row>
    <row r="141" spans="2:28" ht="16.2" thickBot="1">
      <c r="B141" s="86" t="s">
        <v>151</v>
      </c>
      <c r="C141" s="87">
        <v>0</v>
      </c>
      <c r="D141" s="87">
        <v>0</v>
      </c>
      <c r="E141" s="87">
        <v>0</v>
      </c>
      <c r="F141" s="87">
        <v>0</v>
      </c>
      <c r="G141" s="87">
        <v>0</v>
      </c>
      <c r="H141" s="87">
        <v>0</v>
      </c>
      <c r="I141" s="87">
        <v>0</v>
      </c>
      <c r="J141" s="87">
        <v>0</v>
      </c>
      <c r="K141" s="87">
        <v>0</v>
      </c>
      <c r="L141" s="87">
        <v>0</v>
      </c>
      <c r="M141" s="87">
        <v>0</v>
      </c>
      <c r="N141" s="87">
        <v>0</v>
      </c>
      <c r="O141" s="87">
        <v>0</v>
      </c>
      <c r="P141" s="308" t="s">
        <v>159</v>
      </c>
      <c r="Q141" s="308" t="s">
        <v>162</v>
      </c>
      <c r="R141" s="308" t="s">
        <v>160</v>
      </c>
      <c r="S141" s="308">
        <v>0</v>
      </c>
      <c r="T141" s="526">
        <v>0</v>
      </c>
      <c r="V141" s="86" t="s">
        <v>151</v>
      </c>
      <c r="W141" s="526">
        <v>0</v>
      </c>
      <c r="X141" s="526">
        <v>0</v>
      </c>
      <c r="Y141" s="526">
        <v>0</v>
      </c>
      <c r="Z141" s="526">
        <v>0</v>
      </c>
      <c r="AA141" s="526">
        <v>0</v>
      </c>
      <c r="AB141" s="526">
        <v>0</v>
      </c>
    </row>
    <row r="142" spans="2:28" ht="16.2" thickBot="1">
      <c r="B142" s="86" t="s">
        <v>103</v>
      </c>
      <c r="C142" s="87">
        <v>0</v>
      </c>
      <c r="D142" s="87">
        <v>0</v>
      </c>
      <c r="E142" s="87">
        <v>0</v>
      </c>
      <c r="F142" s="87">
        <v>0</v>
      </c>
      <c r="G142" s="87">
        <v>0</v>
      </c>
      <c r="H142" s="87">
        <v>0</v>
      </c>
      <c r="I142" s="87">
        <v>0</v>
      </c>
      <c r="J142" s="87">
        <v>0</v>
      </c>
      <c r="K142" s="87">
        <v>0</v>
      </c>
      <c r="L142" s="87">
        <v>0</v>
      </c>
      <c r="M142" s="87">
        <v>0</v>
      </c>
      <c r="N142" s="87">
        <v>0</v>
      </c>
      <c r="O142" s="87">
        <v>0</v>
      </c>
      <c r="P142" s="308" t="s">
        <v>159</v>
      </c>
      <c r="Q142" s="308" t="s">
        <v>162</v>
      </c>
      <c r="R142" s="308" t="s">
        <v>160</v>
      </c>
      <c r="S142" s="308">
        <v>0</v>
      </c>
      <c r="T142" s="526">
        <v>0</v>
      </c>
      <c r="V142" s="86" t="s">
        <v>103</v>
      </c>
      <c r="W142" s="526">
        <v>0</v>
      </c>
      <c r="X142" s="526">
        <v>0</v>
      </c>
      <c r="Y142" s="526">
        <v>0</v>
      </c>
      <c r="Z142" s="526">
        <v>0</v>
      </c>
      <c r="AA142" s="526">
        <v>0</v>
      </c>
      <c r="AB142" s="526">
        <v>0</v>
      </c>
    </row>
    <row r="143" spans="2:28" ht="16.2" thickBot="1">
      <c r="B143" s="86" t="s">
        <v>104</v>
      </c>
      <c r="C143" s="87">
        <v>0</v>
      </c>
      <c r="D143" s="87">
        <v>0</v>
      </c>
      <c r="E143" s="87">
        <v>0</v>
      </c>
      <c r="F143" s="87">
        <v>0</v>
      </c>
      <c r="G143" s="87">
        <v>0</v>
      </c>
      <c r="H143" s="87">
        <v>0</v>
      </c>
      <c r="I143" s="87">
        <v>0</v>
      </c>
      <c r="J143" s="87">
        <v>0</v>
      </c>
      <c r="K143" s="87">
        <v>0</v>
      </c>
      <c r="L143" s="87">
        <v>0</v>
      </c>
      <c r="M143" s="87">
        <v>0</v>
      </c>
      <c r="N143" s="87">
        <v>0</v>
      </c>
      <c r="O143" s="87">
        <v>0</v>
      </c>
      <c r="P143" s="308" t="s">
        <v>159</v>
      </c>
      <c r="Q143" s="308" t="s">
        <v>162</v>
      </c>
      <c r="R143" s="308" t="s">
        <v>160</v>
      </c>
      <c r="S143" s="308">
        <v>0</v>
      </c>
      <c r="T143" s="526">
        <v>0</v>
      </c>
      <c r="V143" s="86" t="s">
        <v>104</v>
      </c>
      <c r="W143" s="526">
        <v>0</v>
      </c>
      <c r="X143" s="526">
        <v>0</v>
      </c>
      <c r="Y143" s="526">
        <v>0</v>
      </c>
      <c r="Z143" s="526">
        <v>0</v>
      </c>
      <c r="AA143" s="526">
        <v>0</v>
      </c>
      <c r="AB143" s="526">
        <v>0</v>
      </c>
    </row>
    <row r="144" spans="2:28" ht="16.2" thickBot="1">
      <c r="B144" s="86" t="s">
        <v>108</v>
      </c>
      <c r="C144" s="87">
        <v>0</v>
      </c>
      <c r="D144" s="87">
        <v>0</v>
      </c>
      <c r="E144" s="87">
        <v>0</v>
      </c>
      <c r="F144" s="87">
        <v>0</v>
      </c>
      <c r="G144" s="87">
        <v>0</v>
      </c>
      <c r="H144" s="87">
        <v>0</v>
      </c>
      <c r="I144" s="87">
        <v>0</v>
      </c>
      <c r="J144" s="87">
        <v>0</v>
      </c>
      <c r="K144" s="87">
        <v>0</v>
      </c>
      <c r="L144" s="87">
        <v>0</v>
      </c>
      <c r="M144" s="87">
        <v>0</v>
      </c>
      <c r="N144" s="87">
        <v>0</v>
      </c>
      <c r="O144" s="87">
        <v>643</v>
      </c>
      <c r="P144" s="308" t="s">
        <v>167</v>
      </c>
      <c r="Q144" s="308">
        <v>483</v>
      </c>
      <c r="R144" s="308">
        <v>4151</v>
      </c>
      <c r="S144" s="308">
        <v>1184</v>
      </c>
      <c r="T144" s="524">
        <v>985</v>
      </c>
      <c r="V144" s="86" t="s">
        <v>108</v>
      </c>
      <c r="W144" s="524">
        <v>892</v>
      </c>
      <c r="X144" s="524">
        <v>808</v>
      </c>
      <c r="Y144" s="524">
        <v>702</v>
      </c>
      <c r="Z144" s="526">
        <v>0</v>
      </c>
      <c r="AA144" s="526">
        <v>0</v>
      </c>
      <c r="AB144" s="526">
        <v>0</v>
      </c>
    </row>
    <row r="145" spans="2:28" ht="16.2" thickBot="1">
      <c r="B145" s="86" t="s">
        <v>99</v>
      </c>
      <c r="C145" s="87">
        <v>0</v>
      </c>
      <c r="D145" s="87">
        <v>0</v>
      </c>
      <c r="E145" s="87">
        <v>0</v>
      </c>
      <c r="F145" s="87">
        <v>0</v>
      </c>
      <c r="G145" s="87">
        <v>0</v>
      </c>
      <c r="H145" s="87">
        <v>0</v>
      </c>
      <c r="I145" s="87">
        <v>0</v>
      </c>
      <c r="J145" s="87">
        <v>0</v>
      </c>
      <c r="K145" s="87">
        <v>0</v>
      </c>
      <c r="L145" s="87">
        <v>0</v>
      </c>
      <c r="M145" s="87">
        <v>0</v>
      </c>
      <c r="N145" s="87">
        <v>0</v>
      </c>
      <c r="O145" s="87">
        <v>0</v>
      </c>
      <c r="P145" s="308" t="s">
        <v>162</v>
      </c>
      <c r="Q145" s="308" t="s">
        <v>162</v>
      </c>
      <c r="R145" s="308" t="s">
        <v>160</v>
      </c>
      <c r="S145" s="308">
        <v>0</v>
      </c>
      <c r="T145" s="526">
        <v>0</v>
      </c>
      <c r="V145" s="86" t="s">
        <v>99</v>
      </c>
      <c r="W145" s="526"/>
      <c r="X145" s="526">
        <v>0</v>
      </c>
      <c r="Y145" s="526">
        <v>0</v>
      </c>
      <c r="Z145" s="526">
        <v>0</v>
      </c>
      <c r="AA145" s="526">
        <v>0</v>
      </c>
      <c r="AB145" s="526">
        <v>0</v>
      </c>
    </row>
    <row r="146" spans="2:28" ht="16.2" thickBot="1">
      <c r="B146" s="86" t="s">
        <v>95</v>
      </c>
      <c r="C146" s="87">
        <v>0</v>
      </c>
      <c r="D146" s="87">
        <v>0</v>
      </c>
      <c r="E146" s="87">
        <v>0</v>
      </c>
      <c r="F146" s="87">
        <v>0</v>
      </c>
      <c r="G146" s="87">
        <v>0</v>
      </c>
      <c r="H146" s="87">
        <v>0</v>
      </c>
      <c r="I146" s="87">
        <v>0</v>
      </c>
      <c r="J146" s="87">
        <v>0</v>
      </c>
      <c r="K146" s="87">
        <v>0</v>
      </c>
      <c r="L146" s="87">
        <v>0</v>
      </c>
      <c r="M146" s="87">
        <v>0</v>
      </c>
      <c r="N146" s="87">
        <v>0</v>
      </c>
      <c r="O146" s="87">
        <v>0</v>
      </c>
      <c r="P146" s="308" t="s">
        <v>162</v>
      </c>
      <c r="Q146" s="308" t="s">
        <v>162</v>
      </c>
      <c r="R146" s="308" t="s">
        <v>160</v>
      </c>
      <c r="S146" s="308">
        <v>0</v>
      </c>
      <c r="T146" s="526">
        <v>0</v>
      </c>
      <c r="V146" s="86" t="s">
        <v>95</v>
      </c>
      <c r="W146" s="526"/>
      <c r="X146" s="526">
        <v>0</v>
      </c>
      <c r="Y146" s="526">
        <v>0</v>
      </c>
      <c r="Z146" s="526">
        <v>0</v>
      </c>
      <c r="AA146" s="526">
        <v>0</v>
      </c>
      <c r="AB146" s="526">
        <v>0</v>
      </c>
    </row>
    <row r="147" spans="2:28" ht="16.2" thickBot="1">
      <c r="B147" s="84" t="s">
        <v>110</v>
      </c>
      <c r="C147" s="90">
        <v>80504</v>
      </c>
      <c r="D147" s="90">
        <v>80712</v>
      </c>
      <c r="E147" s="90">
        <v>82228</v>
      </c>
      <c r="F147" s="90">
        <v>87171</v>
      </c>
      <c r="G147" s="90">
        <v>86604</v>
      </c>
      <c r="H147" s="90">
        <v>85268</v>
      </c>
      <c r="I147" s="90">
        <v>87582</v>
      </c>
      <c r="J147" s="90">
        <v>89477</v>
      </c>
      <c r="K147" s="90">
        <v>90801</v>
      </c>
      <c r="L147" s="90">
        <v>89969</v>
      </c>
      <c r="M147" s="90">
        <v>91482</v>
      </c>
      <c r="N147" s="90">
        <v>92857</v>
      </c>
      <c r="O147" s="90">
        <v>93197</v>
      </c>
      <c r="P147" s="311">
        <v>96124</v>
      </c>
      <c r="Q147" s="311">
        <v>93607</v>
      </c>
      <c r="R147" s="311">
        <v>101269</v>
      </c>
      <c r="S147" s="311">
        <v>99884</v>
      </c>
      <c r="T147" s="311">
        <v>72178</v>
      </c>
      <c r="V147" s="84" t="s">
        <v>110</v>
      </c>
      <c r="W147" s="311">
        <v>72943</v>
      </c>
      <c r="X147" s="311">
        <v>75261</v>
      </c>
      <c r="Y147" s="311">
        <v>86731</v>
      </c>
      <c r="Z147" s="311">
        <v>100769</v>
      </c>
      <c r="AA147" s="311">
        <f>SUM(AA134:AA146)</f>
        <v>102345</v>
      </c>
      <c r="AB147" s="311">
        <v>104763</v>
      </c>
    </row>
    <row r="148" spans="2:28" ht="16.2" thickBot="1">
      <c r="B148" s="92" t="s">
        <v>111</v>
      </c>
      <c r="C148" s="93">
        <v>235618</v>
      </c>
      <c r="D148" s="93">
        <v>228196</v>
      </c>
      <c r="E148" s="93">
        <v>231336</v>
      </c>
      <c r="F148" s="93">
        <v>270503</v>
      </c>
      <c r="G148" s="93">
        <v>255605</v>
      </c>
      <c r="H148" s="93">
        <v>231602</v>
      </c>
      <c r="I148" s="93">
        <v>255544</v>
      </c>
      <c r="J148" s="93">
        <v>257133</v>
      </c>
      <c r="K148" s="93">
        <v>270869</v>
      </c>
      <c r="L148" s="93">
        <v>252748</v>
      </c>
      <c r="M148" s="93">
        <v>280854</v>
      </c>
      <c r="N148" s="93">
        <v>280684</v>
      </c>
      <c r="O148" s="93">
        <v>272484</v>
      </c>
      <c r="P148" s="321">
        <v>272250</v>
      </c>
      <c r="Q148" s="339">
        <v>268569</v>
      </c>
      <c r="R148" s="339">
        <v>291119</v>
      </c>
      <c r="S148" s="339">
        <v>310702</v>
      </c>
      <c r="T148" s="339">
        <v>279987</v>
      </c>
      <c r="V148" s="92" t="s">
        <v>111</v>
      </c>
      <c r="W148" s="339">
        <v>296891</v>
      </c>
      <c r="X148" s="339">
        <v>317776</v>
      </c>
      <c r="Y148" s="339">
        <v>343300</v>
      </c>
      <c r="Z148" s="339">
        <v>357192</v>
      </c>
      <c r="AA148" s="339">
        <f>+AA132+AA147</f>
        <v>394117</v>
      </c>
      <c r="AB148" s="339">
        <v>431456</v>
      </c>
    </row>
    <row r="149" spans="2:28" ht="16.2" thickBot="1">
      <c r="B149" s="95"/>
      <c r="C149" s="96"/>
      <c r="D149" s="96"/>
      <c r="E149" s="96"/>
      <c r="F149" s="96"/>
      <c r="G149" s="96"/>
      <c r="H149" s="96"/>
      <c r="I149" s="96"/>
      <c r="J149" s="96"/>
      <c r="K149" s="96"/>
      <c r="L149" s="96"/>
      <c r="M149" s="96"/>
      <c r="N149" s="96"/>
      <c r="O149" s="96"/>
      <c r="Q149" s="312" t="s">
        <v>162</v>
      </c>
      <c r="R149" s="312" t="s">
        <v>162</v>
      </c>
      <c r="S149" s="312">
        <v>0</v>
      </c>
      <c r="V149" s="95"/>
    </row>
    <row r="150" spans="2:28" ht="16.2" thickBot="1">
      <c r="B150" s="82" t="s">
        <v>112</v>
      </c>
      <c r="C150" s="97"/>
      <c r="D150" s="97"/>
      <c r="E150" s="97"/>
      <c r="F150" s="97"/>
      <c r="G150" s="97"/>
      <c r="H150" s="97"/>
      <c r="I150" s="97"/>
      <c r="J150" s="97"/>
      <c r="K150" s="97"/>
      <c r="L150" s="97"/>
      <c r="M150" s="97"/>
      <c r="N150" s="97"/>
      <c r="O150" s="97"/>
      <c r="P150" s="313" t="s">
        <v>162</v>
      </c>
      <c r="Q150" s="313" t="s">
        <v>162</v>
      </c>
      <c r="R150" s="313" t="s">
        <v>162</v>
      </c>
      <c r="S150" s="313">
        <v>0</v>
      </c>
      <c r="T150" s="313"/>
      <c r="V150" s="82" t="s">
        <v>112</v>
      </c>
      <c r="W150" s="313"/>
      <c r="X150" s="313"/>
      <c r="Y150" s="313"/>
      <c r="Z150" s="313"/>
      <c r="AA150" s="313"/>
      <c r="AB150" s="313"/>
    </row>
    <row r="151" spans="2:28" ht="16.2" thickBot="1">
      <c r="B151" s="84" t="s">
        <v>113</v>
      </c>
      <c r="C151" s="98"/>
      <c r="D151" s="98"/>
      <c r="E151" s="98"/>
      <c r="F151" s="98"/>
      <c r="G151" s="98"/>
      <c r="H151" s="98"/>
      <c r="I151" s="98"/>
      <c r="J151" s="98"/>
      <c r="K151" s="98"/>
      <c r="L151" s="98"/>
      <c r="M151" s="98"/>
      <c r="N151" s="98"/>
      <c r="O151" s="98"/>
      <c r="P151" s="314" t="s">
        <v>162</v>
      </c>
      <c r="Q151" s="314" t="s">
        <v>162</v>
      </c>
      <c r="R151" s="314" t="s">
        <v>162</v>
      </c>
      <c r="S151" s="314">
        <v>0</v>
      </c>
      <c r="T151" s="314"/>
      <c r="V151" s="84" t="s">
        <v>113</v>
      </c>
      <c r="W151" s="314"/>
      <c r="X151" s="314"/>
      <c r="Y151" s="314"/>
      <c r="Z151" s="314"/>
      <c r="AA151" s="314"/>
      <c r="AB151" s="314"/>
    </row>
    <row r="152" spans="2:28" ht="16.2" thickBot="1">
      <c r="B152" s="86" t="s">
        <v>115</v>
      </c>
      <c r="C152" s="87">
        <v>31679</v>
      </c>
      <c r="D152" s="87">
        <v>20442</v>
      </c>
      <c r="E152" s="87">
        <v>23518</v>
      </c>
      <c r="F152" s="87">
        <v>25769</v>
      </c>
      <c r="G152" s="87">
        <v>21703</v>
      </c>
      <c r="H152" s="87">
        <v>21030</v>
      </c>
      <c r="I152" s="87">
        <v>46399</v>
      </c>
      <c r="J152" s="87">
        <v>26194</v>
      </c>
      <c r="K152" s="87">
        <v>27597</v>
      </c>
      <c r="L152" s="87">
        <v>22333</v>
      </c>
      <c r="M152" s="87">
        <v>53624</v>
      </c>
      <c r="N152" s="87">
        <v>20513</v>
      </c>
      <c r="O152" s="87">
        <v>29850</v>
      </c>
      <c r="P152" s="315">
        <v>28093</v>
      </c>
      <c r="Q152" s="315">
        <v>49963</v>
      </c>
      <c r="R152" s="315">
        <v>28721</v>
      </c>
      <c r="S152" s="315">
        <v>30894</v>
      </c>
      <c r="T152" s="524">
        <v>29466</v>
      </c>
      <c r="V152" s="86" t="s">
        <v>115</v>
      </c>
      <c r="W152" s="524">
        <v>96477</v>
      </c>
      <c r="X152" s="524">
        <v>91468</v>
      </c>
      <c r="Y152" s="524">
        <v>95722</v>
      </c>
      <c r="Z152" s="524">
        <v>30140</v>
      </c>
      <c r="AA152" s="524">
        <v>77486</v>
      </c>
      <c r="AB152" s="524">
        <v>48722</v>
      </c>
    </row>
    <row r="153" spans="2:28" ht="16.2" thickBot="1">
      <c r="B153" s="86" t="s">
        <v>168</v>
      </c>
      <c r="C153" s="87">
        <v>38636</v>
      </c>
      <c r="D153" s="87">
        <v>23373</v>
      </c>
      <c r="E153" s="87">
        <v>39363</v>
      </c>
      <c r="F153" s="87">
        <v>51104</v>
      </c>
      <c r="G153" s="87">
        <v>19640</v>
      </c>
      <c r="H153" s="87">
        <v>10505</v>
      </c>
      <c r="I153" s="87">
        <v>29145</v>
      </c>
      <c r="J153" s="87">
        <v>29846</v>
      </c>
      <c r="K153" s="87">
        <v>21967</v>
      </c>
      <c r="L153" s="87">
        <v>14796</v>
      </c>
      <c r="M153" s="87">
        <v>34619</v>
      </c>
      <c r="N153" s="87">
        <v>45533</v>
      </c>
      <c r="O153" s="87">
        <v>6922</v>
      </c>
      <c r="P153" s="315">
        <v>13177</v>
      </c>
      <c r="Q153" s="315">
        <v>6913</v>
      </c>
      <c r="R153" s="315">
        <v>34539</v>
      </c>
      <c r="S153" s="315">
        <v>20268</v>
      </c>
      <c r="T153" s="524">
        <v>23085</v>
      </c>
      <c r="V153" s="86" t="s">
        <v>168</v>
      </c>
      <c r="W153" s="524">
        <v>0</v>
      </c>
      <c r="X153" s="524">
        <v>0</v>
      </c>
      <c r="Y153" s="524">
        <v>0</v>
      </c>
      <c r="Z153" s="524">
        <v>61420</v>
      </c>
      <c r="AA153" s="524">
        <v>79071</v>
      </c>
      <c r="AB153" s="524">
        <v>113076</v>
      </c>
    </row>
    <row r="154" spans="2:28" ht="16.2" thickBot="1">
      <c r="B154" s="86" t="s">
        <v>117</v>
      </c>
      <c r="C154" s="87">
        <v>13087</v>
      </c>
      <c r="D154" s="87">
        <v>15442</v>
      </c>
      <c r="E154" s="87">
        <v>13390</v>
      </c>
      <c r="F154" s="87">
        <v>14427</v>
      </c>
      <c r="G154" s="87">
        <v>17419</v>
      </c>
      <c r="H154" s="87">
        <v>13487</v>
      </c>
      <c r="I154" s="87">
        <v>12475</v>
      </c>
      <c r="J154" s="87">
        <v>11418</v>
      </c>
      <c r="K154" s="87">
        <v>17796</v>
      </c>
      <c r="L154" s="87">
        <v>14319</v>
      </c>
      <c r="M154" s="87">
        <v>13724</v>
      </c>
      <c r="N154" s="87">
        <v>13403</v>
      </c>
      <c r="O154" s="87">
        <v>20451</v>
      </c>
      <c r="P154" s="315">
        <v>16452</v>
      </c>
      <c r="Q154" s="315">
        <v>15289</v>
      </c>
      <c r="R154" s="315">
        <v>26311</v>
      </c>
      <c r="S154" s="315">
        <v>21779</v>
      </c>
      <c r="T154" s="524">
        <v>16634</v>
      </c>
      <c r="V154" s="86" t="s">
        <v>117</v>
      </c>
      <c r="W154" s="524">
        <v>16385</v>
      </c>
      <c r="X154" s="524">
        <v>15635</v>
      </c>
      <c r="Y154" s="524">
        <v>23784</v>
      </c>
      <c r="Z154" s="524">
        <v>19065</v>
      </c>
      <c r="AA154" s="524">
        <v>19850</v>
      </c>
      <c r="AB154" s="524">
        <v>18627</v>
      </c>
    </row>
    <row r="155" spans="2:28" ht="16.2" thickBot="1">
      <c r="B155" s="86" t="s">
        <v>92</v>
      </c>
      <c r="C155" s="87">
        <v>3984</v>
      </c>
      <c r="D155" s="87">
        <v>9715</v>
      </c>
      <c r="E155" s="87">
        <v>10498</v>
      </c>
      <c r="F155" s="87">
        <v>18237</v>
      </c>
      <c r="G155" s="87">
        <v>28810</v>
      </c>
      <c r="H155" s="87">
        <v>17153</v>
      </c>
      <c r="I155" s="87">
        <v>14144</v>
      </c>
      <c r="J155" s="87">
        <v>20369</v>
      </c>
      <c r="K155" s="87">
        <v>26364</v>
      </c>
      <c r="L155" s="87">
        <v>15482</v>
      </c>
      <c r="M155" s="87">
        <v>13211</v>
      </c>
      <c r="N155" s="87">
        <v>22241</v>
      </c>
      <c r="O155" s="87">
        <v>27678</v>
      </c>
      <c r="P155" s="315">
        <v>23501</v>
      </c>
      <c r="Q155" s="315">
        <v>22811</v>
      </c>
      <c r="R155" s="315">
        <v>22177</v>
      </c>
      <c r="S155" s="315">
        <v>28885</v>
      </c>
      <c r="T155" s="524">
        <v>24142</v>
      </c>
      <c r="V155" s="86" t="s">
        <v>92</v>
      </c>
      <c r="W155" s="524">
        <v>20445</v>
      </c>
      <c r="X155" s="524">
        <v>25481</v>
      </c>
      <c r="Y155" s="524">
        <v>25200</v>
      </c>
      <c r="Z155" s="524">
        <v>27835</v>
      </c>
      <c r="AA155" s="524">
        <v>16424</v>
      </c>
      <c r="AB155" s="524">
        <v>34885</v>
      </c>
    </row>
    <row r="156" spans="2:28" ht="16.2" thickBot="1">
      <c r="B156" s="86" t="s">
        <v>118</v>
      </c>
      <c r="C156" s="87">
        <v>135</v>
      </c>
      <c r="D156" s="87">
        <v>0</v>
      </c>
      <c r="E156" s="87">
        <v>0</v>
      </c>
      <c r="F156" s="87">
        <v>0</v>
      </c>
      <c r="G156" s="87">
        <v>0</v>
      </c>
      <c r="H156" s="87">
        <v>0</v>
      </c>
      <c r="I156" s="87">
        <v>26</v>
      </c>
      <c r="J156" s="87">
        <v>26</v>
      </c>
      <c r="K156" s="87">
        <v>0</v>
      </c>
      <c r="L156" s="87">
        <v>0</v>
      </c>
      <c r="M156" s="87">
        <v>0</v>
      </c>
      <c r="N156" s="87">
        <v>0</v>
      </c>
      <c r="O156" s="87">
        <v>0</v>
      </c>
      <c r="P156" s="315" t="s">
        <v>159</v>
      </c>
      <c r="Q156" s="315" t="s">
        <v>160</v>
      </c>
      <c r="R156" s="315" t="s">
        <v>160</v>
      </c>
      <c r="S156" s="315">
        <v>8</v>
      </c>
      <c r="T156" s="315" t="s">
        <v>160</v>
      </c>
      <c r="V156" s="86" t="s">
        <v>118</v>
      </c>
      <c r="W156" s="315">
        <v>0</v>
      </c>
      <c r="X156" s="315">
        <v>0</v>
      </c>
      <c r="Y156" s="315">
        <v>0</v>
      </c>
      <c r="Z156" s="315">
        <v>5000</v>
      </c>
      <c r="AA156" s="315"/>
      <c r="AB156" s="315">
        <v>13793</v>
      </c>
    </row>
    <row r="157" spans="2:28" ht="16.2" thickBot="1">
      <c r="B157" s="86" t="s">
        <v>119</v>
      </c>
      <c r="C157" s="87">
        <v>2208</v>
      </c>
      <c r="D157" s="87">
        <v>2503</v>
      </c>
      <c r="E157" s="87">
        <v>367</v>
      </c>
      <c r="F157" s="87">
        <v>6732</v>
      </c>
      <c r="G157" s="87">
        <v>4814</v>
      </c>
      <c r="H157" s="87">
        <v>2558</v>
      </c>
      <c r="I157" s="87">
        <v>225</v>
      </c>
      <c r="J157" s="87">
        <v>7139</v>
      </c>
      <c r="K157" s="87">
        <v>4705</v>
      </c>
      <c r="L157" s="87">
        <v>2616</v>
      </c>
      <c r="M157" s="87">
        <v>647</v>
      </c>
      <c r="N157" s="87">
        <v>7051</v>
      </c>
      <c r="O157" s="87">
        <v>4752</v>
      </c>
      <c r="P157" s="315">
        <v>2431</v>
      </c>
      <c r="Q157" s="315">
        <v>147</v>
      </c>
      <c r="R157" s="315">
        <v>6641</v>
      </c>
      <c r="S157" s="315">
        <v>6823</v>
      </c>
      <c r="T157" s="524">
        <v>2202</v>
      </c>
      <c r="V157" s="86" t="s">
        <v>119</v>
      </c>
      <c r="W157" s="524">
        <v>149</v>
      </c>
      <c r="X157" s="524">
        <v>8225</v>
      </c>
      <c r="Y157" s="524">
        <v>5525</v>
      </c>
      <c r="Z157" s="524">
        <v>2912</v>
      </c>
      <c r="AA157" s="524">
        <v>4022</v>
      </c>
      <c r="AB157" s="524">
        <v>8253</v>
      </c>
    </row>
    <row r="158" spans="2:28" ht="16.2" thickBot="1">
      <c r="B158" s="86" t="s">
        <v>114</v>
      </c>
      <c r="C158" s="87">
        <v>0</v>
      </c>
      <c r="D158" s="87">
        <v>0</v>
      </c>
      <c r="E158" s="87">
        <v>0</v>
      </c>
      <c r="F158" s="87">
        <v>0</v>
      </c>
      <c r="G158" s="87">
        <v>0</v>
      </c>
      <c r="H158" s="87">
        <v>0</v>
      </c>
      <c r="I158" s="87">
        <v>0</v>
      </c>
      <c r="J158" s="87">
        <v>0</v>
      </c>
      <c r="K158" s="87">
        <v>0</v>
      </c>
      <c r="L158" s="87">
        <v>0</v>
      </c>
      <c r="M158" s="87">
        <v>0</v>
      </c>
      <c r="N158" s="87">
        <v>0</v>
      </c>
      <c r="O158" s="87">
        <v>0</v>
      </c>
      <c r="P158" s="315" t="s">
        <v>159</v>
      </c>
      <c r="Q158" s="315" t="s">
        <v>160</v>
      </c>
      <c r="R158" s="315" t="s">
        <v>160</v>
      </c>
      <c r="S158" s="315" t="s">
        <v>160</v>
      </c>
      <c r="T158" s="315" t="s">
        <v>160</v>
      </c>
      <c r="V158" s="86" t="s">
        <v>114</v>
      </c>
      <c r="W158" s="315">
        <v>0</v>
      </c>
      <c r="X158" s="315">
        <v>0</v>
      </c>
      <c r="Y158" s="315"/>
      <c r="Z158" s="315"/>
      <c r="AA158" s="315"/>
      <c r="AB158" s="315"/>
    </row>
    <row r="159" spans="2:28" ht="16.2" thickBot="1">
      <c r="B159" s="86" t="s">
        <v>152</v>
      </c>
      <c r="C159" s="87">
        <v>0</v>
      </c>
      <c r="D159" s="87">
        <v>0</v>
      </c>
      <c r="E159" s="87">
        <v>0</v>
      </c>
      <c r="F159" s="87">
        <v>0</v>
      </c>
      <c r="G159" s="87">
        <v>0</v>
      </c>
      <c r="H159" s="87">
        <v>0</v>
      </c>
      <c r="I159" s="87">
        <v>0</v>
      </c>
      <c r="J159" s="87">
        <v>0</v>
      </c>
      <c r="K159" s="87">
        <v>0</v>
      </c>
      <c r="L159" s="87">
        <v>0</v>
      </c>
      <c r="M159" s="87">
        <v>0</v>
      </c>
      <c r="N159" s="87">
        <v>0</v>
      </c>
      <c r="O159" s="87">
        <v>0</v>
      </c>
      <c r="P159" s="315" t="s">
        <v>159</v>
      </c>
      <c r="Q159" s="315" t="s">
        <v>160</v>
      </c>
      <c r="R159" s="315" t="s">
        <v>160</v>
      </c>
      <c r="S159" s="315" t="s">
        <v>160</v>
      </c>
      <c r="T159" s="315" t="s">
        <v>160</v>
      </c>
      <c r="V159" s="86" t="s">
        <v>152</v>
      </c>
      <c r="W159" s="315">
        <v>0</v>
      </c>
      <c r="X159" s="315">
        <v>0</v>
      </c>
      <c r="Y159" s="315"/>
      <c r="Z159" s="315">
        <v>366</v>
      </c>
      <c r="AA159" s="315"/>
      <c r="AB159" s="315"/>
    </row>
    <row r="160" spans="2:28" ht="15.6" thickBot="1">
      <c r="B160" s="84" t="s">
        <v>121</v>
      </c>
      <c r="C160" s="90">
        <v>89729</v>
      </c>
      <c r="D160" s="90">
        <v>71475</v>
      </c>
      <c r="E160" s="90">
        <v>87136</v>
      </c>
      <c r="F160" s="90">
        <v>116269</v>
      </c>
      <c r="G160" s="90">
        <v>92386</v>
      </c>
      <c r="H160" s="90">
        <v>64733</v>
      </c>
      <c r="I160" s="90">
        <v>102414</v>
      </c>
      <c r="J160" s="90">
        <v>94992</v>
      </c>
      <c r="K160" s="90">
        <v>98429</v>
      </c>
      <c r="L160" s="90">
        <v>69546</v>
      </c>
      <c r="M160" s="90">
        <v>115825</v>
      </c>
      <c r="N160" s="90">
        <v>108741</v>
      </c>
      <c r="O160" s="90">
        <v>89653</v>
      </c>
      <c r="P160" s="90">
        <v>83654</v>
      </c>
      <c r="Q160" s="90">
        <v>95123</v>
      </c>
      <c r="R160" s="90">
        <v>118388</v>
      </c>
      <c r="S160" s="90">
        <v>108657</v>
      </c>
      <c r="T160" s="90">
        <v>95529</v>
      </c>
      <c r="V160" s="84" t="s">
        <v>121</v>
      </c>
      <c r="W160" s="90">
        <v>133456</v>
      </c>
      <c r="X160" s="90">
        <v>140809</v>
      </c>
      <c r="Y160" s="90">
        <v>150231</v>
      </c>
      <c r="Z160" s="90">
        <v>146738</v>
      </c>
      <c r="AA160" s="90">
        <f>SUM(AA152:AA157)</f>
        <v>196853</v>
      </c>
      <c r="AB160" s="90">
        <v>237356</v>
      </c>
    </row>
    <row r="161" spans="2:28" ht="15.6" thickBot="1">
      <c r="B161" s="100" t="s">
        <v>122</v>
      </c>
      <c r="C161" s="101"/>
      <c r="D161" s="101"/>
      <c r="E161" s="101"/>
      <c r="F161" s="101"/>
      <c r="G161" s="101"/>
      <c r="H161" s="101"/>
      <c r="I161" s="101"/>
      <c r="J161" s="101"/>
      <c r="K161" s="101"/>
      <c r="L161" s="101"/>
      <c r="M161" s="101"/>
      <c r="N161" s="101"/>
      <c r="O161" s="101"/>
      <c r="P161" s="101" t="s">
        <v>162</v>
      </c>
      <c r="Q161" s="101" t="s">
        <v>162</v>
      </c>
      <c r="R161" s="101" t="s">
        <v>162</v>
      </c>
      <c r="S161" s="101">
        <v>0</v>
      </c>
      <c r="T161" s="101"/>
      <c r="V161" s="100" t="s">
        <v>122</v>
      </c>
      <c r="W161" s="101"/>
      <c r="X161" s="101"/>
      <c r="Y161" s="101"/>
      <c r="Z161" s="101"/>
      <c r="AA161" s="101"/>
      <c r="AB161" s="101"/>
    </row>
    <row r="162" spans="2:28" ht="16.2" thickBot="1">
      <c r="B162" s="86" t="s">
        <v>115</v>
      </c>
      <c r="C162" s="87">
        <v>0</v>
      </c>
      <c r="D162" s="87">
        <v>0</v>
      </c>
      <c r="E162" s="87">
        <v>1</v>
      </c>
      <c r="F162" s="87">
        <v>0</v>
      </c>
      <c r="G162" s="87">
        <v>0</v>
      </c>
      <c r="H162" s="87">
        <v>0</v>
      </c>
      <c r="I162" s="87">
        <v>0</v>
      </c>
      <c r="J162" s="87">
        <v>0</v>
      </c>
      <c r="K162" s="87">
        <v>0</v>
      </c>
      <c r="L162" s="87">
        <v>0</v>
      </c>
      <c r="M162" s="87">
        <v>646</v>
      </c>
      <c r="N162" s="87">
        <v>390</v>
      </c>
      <c r="O162" s="87">
        <v>327</v>
      </c>
      <c r="P162" s="315" t="s">
        <v>159</v>
      </c>
      <c r="Q162" s="315" t="s">
        <v>160</v>
      </c>
      <c r="R162" s="315" t="s">
        <v>160</v>
      </c>
      <c r="S162" s="315">
        <v>532</v>
      </c>
      <c r="T162" s="524">
        <v>605</v>
      </c>
      <c r="V162" s="86" t="s">
        <v>115</v>
      </c>
      <c r="W162" s="524">
        <v>11647</v>
      </c>
      <c r="X162" s="524">
        <v>11616</v>
      </c>
      <c r="Y162" s="524">
        <v>12872</v>
      </c>
      <c r="Z162" s="524">
        <v>12873</v>
      </c>
      <c r="AA162" s="524">
        <v>12873</v>
      </c>
    </row>
    <row r="163" spans="2:28" ht="16.2" thickBot="1">
      <c r="B163" s="86" t="s">
        <v>168</v>
      </c>
      <c r="C163" s="87">
        <v>5551</v>
      </c>
      <c r="D163" s="87">
        <v>6942</v>
      </c>
      <c r="E163" s="87">
        <v>6960</v>
      </c>
      <c r="F163" s="87">
        <v>7140</v>
      </c>
      <c r="G163" s="87">
        <v>7364</v>
      </c>
      <c r="H163" s="87">
        <v>7364</v>
      </c>
      <c r="I163" s="87">
        <v>7775</v>
      </c>
      <c r="J163" s="87">
        <v>7775</v>
      </c>
      <c r="K163" s="87">
        <v>7775</v>
      </c>
      <c r="L163" s="87">
        <v>7906</v>
      </c>
      <c r="M163" s="87">
        <v>7906</v>
      </c>
      <c r="N163" s="87">
        <v>8213</v>
      </c>
      <c r="O163" s="87">
        <v>8538</v>
      </c>
      <c r="P163" s="315">
        <v>8556</v>
      </c>
      <c r="Q163" s="315">
        <v>8556</v>
      </c>
      <c r="R163" s="315">
        <v>8556</v>
      </c>
      <c r="S163" s="315">
        <v>9988</v>
      </c>
      <c r="T163" s="524">
        <v>11083</v>
      </c>
      <c r="V163" s="86" t="s">
        <v>168</v>
      </c>
      <c r="W163" s="524">
        <v>0</v>
      </c>
      <c r="X163" s="524">
        <v>0</v>
      </c>
      <c r="Y163" s="524">
        <v>0</v>
      </c>
      <c r="Z163" s="524">
        <v>0</v>
      </c>
      <c r="AA163" s="524">
        <v>0</v>
      </c>
      <c r="AB163" s="524">
        <v>14303</v>
      </c>
    </row>
    <row r="164" spans="2:28" ht="16.2" thickBot="1">
      <c r="B164" s="86" t="s">
        <v>117</v>
      </c>
      <c r="C164" s="87">
        <v>63512</v>
      </c>
      <c r="D164" s="87">
        <v>70741</v>
      </c>
      <c r="E164" s="87">
        <v>73476</v>
      </c>
      <c r="F164" s="87">
        <v>74769</v>
      </c>
      <c r="G164" s="87">
        <v>76780</v>
      </c>
      <c r="H164" s="87">
        <v>75296</v>
      </c>
      <c r="I164" s="87">
        <v>77406</v>
      </c>
      <c r="J164" s="87">
        <v>79515</v>
      </c>
      <c r="K164" s="87">
        <v>81623</v>
      </c>
      <c r="L164" s="87">
        <v>82959</v>
      </c>
      <c r="M164" s="87">
        <v>85214</v>
      </c>
      <c r="N164" s="87">
        <v>87469</v>
      </c>
      <c r="O164" s="87">
        <v>89721</v>
      </c>
      <c r="P164" s="315" t="s">
        <v>169</v>
      </c>
      <c r="Q164" s="315">
        <v>94802</v>
      </c>
      <c r="R164" s="315">
        <v>85190</v>
      </c>
      <c r="S164" s="315">
        <v>98829</v>
      </c>
      <c r="T164" s="524">
        <v>79380</v>
      </c>
      <c r="V164" s="86" t="s">
        <v>117</v>
      </c>
      <c r="W164" s="524">
        <v>81382</v>
      </c>
      <c r="X164" s="524">
        <v>83087</v>
      </c>
      <c r="Y164" s="524">
        <v>84976</v>
      </c>
      <c r="Z164" s="524">
        <v>57659</v>
      </c>
      <c r="AA164" s="524">
        <v>59808</v>
      </c>
      <c r="AB164" s="524">
        <v>60863</v>
      </c>
    </row>
    <row r="165" spans="2:28" ht="16.2" thickBot="1">
      <c r="B165" s="86" t="s">
        <v>114</v>
      </c>
      <c r="C165" s="87">
        <v>0</v>
      </c>
      <c r="D165" s="87">
        <v>0</v>
      </c>
      <c r="E165" s="87">
        <v>0</v>
      </c>
      <c r="F165" s="87">
        <v>0</v>
      </c>
      <c r="G165" s="87">
        <v>0</v>
      </c>
      <c r="H165" s="87">
        <v>0</v>
      </c>
      <c r="I165" s="87">
        <v>0</v>
      </c>
      <c r="J165" s="87">
        <v>0</v>
      </c>
      <c r="K165" s="87">
        <v>0</v>
      </c>
      <c r="L165" s="87">
        <v>0</v>
      </c>
      <c r="M165" s="87">
        <v>0</v>
      </c>
      <c r="N165" s="87">
        <v>0</v>
      </c>
      <c r="O165" s="87">
        <v>0</v>
      </c>
      <c r="P165" s="315" t="s">
        <v>159</v>
      </c>
      <c r="Q165" s="315" t="s">
        <v>160</v>
      </c>
      <c r="R165" s="315" t="s">
        <v>160</v>
      </c>
      <c r="S165" s="315" t="s">
        <v>160</v>
      </c>
      <c r="T165" s="315" t="s">
        <v>160</v>
      </c>
      <c r="V165" s="86" t="s">
        <v>114</v>
      </c>
      <c r="W165" s="315">
        <v>0</v>
      </c>
      <c r="X165" s="315">
        <v>0</v>
      </c>
      <c r="Y165" s="315">
        <v>0</v>
      </c>
      <c r="Z165" s="315">
        <v>667</v>
      </c>
      <c r="AA165" s="524">
        <v>0</v>
      </c>
      <c r="AB165" s="315">
        <v>667</v>
      </c>
    </row>
    <row r="166" spans="2:28" ht="16.2" thickBot="1">
      <c r="B166" s="86" t="s">
        <v>123</v>
      </c>
      <c r="C166" s="87">
        <v>0</v>
      </c>
      <c r="D166" s="87">
        <v>0</v>
      </c>
      <c r="E166" s="87">
        <v>0</v>
      </c>
      <c r="F166" s="87">
        <v>0</v>
      </c>
      <c r="G166" s="87">
        <v>0</v>
      </c>
      <c r="H166" s="87">
        <v>0</v>
      </c>
      <c r="I166" s="87">
        <v>0</v>
      </c>
      <c r="J166" s="87">
        <v>0</v>
      </c>
      <c r="K166" s="87">
        <v>0</v>
      </c>
      <c r="L166" s="87">
        <v>0</v>
      </c>
      <c r="M166" s="87">
        <v>0</v>
      </c>
      <c r="N166" s="87">
        <v>0</v>
      </c>
      <c r="O166" s="87">
        <v>0</v>
      </c>
      <c r="P166" s="315" t="s">
        <v>159</v>
      </c>
      <c r="Q166" s="315" t="s">
        <v>160</v>
      </c>
      <c r="R166" s="315" t="s">
        <v>160</v>
      </c>
      <c r="S166" s="315" t="s">
        <v>160</v>
      </c>
      <c r="T166" s="315" t="s">
        <v>160</v>
      </c>
      <c r="V166" s="86" t="s">
        <v>123</v>
      </c>
      <c r="W166" s="315">
        <v>0</v>
      </c>
      <c r="X166" s="315">
        <v>0</v>
      </c>
      <c r="Y166" s="315">
        <v>0</v>
      </c>
      <c r="Z166" s="315">
        <v>0</v>
      </c>
      <c r="AA166" s="524">
        <v>0</v>
      </c>
      <c r="AB166" s="315"/>
    </row>
    <row r="167" spans="2:28" ht="16.2" thickBot="1">
      <c r="B167" s="86" t="s">
        <v>118</v>
      </c>
      <c r="C167" s="87">
        <v>0</v>
      </c>
      <c r="D167" s="87">
        <v>0</v>
      </c>
      <c r="E167" s="87">
        <v>0</v>
      </c>
      <c r="F167" s="87">
        <v>0</v>
      </c>
      <c r="G167" s="87">
        <v>0</v>
      </c>
      <c r="H167" s="87">
        <v>0</v>
      </c>
      <c r="I167" s="87">
        <v>0</v>
      </c>
      <c r="J167" s="87">
        <v>0</v>
      </c>
      <c r="K167" s="87">
        <v>0</v>
      </c>
      <c r="L167" s="87">
        <v>0</v>
      </c>
      <c r="M167" s="87">
        <v>0</v>
      </c>
      <c r="N167" s="87">
        <v>0</v>
      </c>
      <c r="O167" s="87">
        <v>0</v>
      </c>
      <c r="P167" s="315" t="s">
        <v>159</v>
      </c>
      <c r="Q167" s="315" t="s">
        <v>160</v>
      </c>
      <c r="R167" s="315" t="s">
        <v>160</v>
      </c>
      <c r="S167" s="315" t="s">
        <v>160</v>
      </c>
      <c r="T167" s="524">
        <v>356</v>
      </c>
      <c r="V167" s="86" t="s">
        <v>118</v>
      </c>
      <c r="W167" s="524">
        <v>377</v>
      </c>
      <c r="X167" s="524">
        <v>377</v>
      </c>
      <c r="Y167" s="524">
        <v>302</v>
      </c>
      <c r="Z167" s="524">
        <v>230</v>
      </c>
      <c r="AA167" s="524">
        <v>5248</v>
      </c>
      <c r="AB167" s="524">
        <v>5248</v>
      </c>
    </row>
    <row r="168" spans="2:28" ht="16.2" thickBot="1">
      <c r="B168" s="86" t="s">
        <v>119</v>
      </c>
      <c r="C168" s="87">
        <v>0</v>
      </c>
      <c r="D168" s="87">
        <v>0</v>
      </c>
      <c r="E168" s="87">
        <v>0</v>
      </c>
      <c r="F168" s="87">
        <v>0</v>
      </c>
      <c r="G168" s="87">
        <v>0</v>
      </c>
      <c r="H168" s="87">
        <v>0</v>
      </c>
      <c r="I168" s="87">
        <v>0</v>
      </c>
      <c r="J168" s="87">
        <v>0</v>
      </c>
      <c r="K168" s="87">
        <v>0</v>
      </c>
      <c r="L168" s="87">
        <v>0</v>
      </c>
      <c r="M168" s="87">
        <v>0</v>
      </c>
      <c r="N168" s="87">
        <v>0</v>
      </c>
      <c r="O168" s="87">
        <v>0</v>
      </c>
      <c r="P168" s="315" t="s">
        <v>159</v>
      </c>
      <c r="Q168" s="315" t="s">
        <v>160</v>
      </c>
      <c r="R168" s="315" t="s">
        <v>160</v>
      </c>
      <c r="S168" s="315" t="s">
        <v>160</v>
      </c>
      <c r="T168" s="315" t="s">
        <v>160</v>
      </c>
      <c r="V168" s="86" t="s">
        <v>119</v>
      </c>
      <c r="W168" s="315">
        <v>0</v>
      </c>
      <c r="X168" s="315">
        <v>0</v>
      </c>
      <c r="Y168" s="315">
        <v>0</v>
      </c>
      <c r="AA168" s="524">
        <v>0</v>
      </c>
      <c r="AB168" s="524">
        <v>0</v>
      </c>
    </row>
    <row r="169" spans="2:28" ht="16.2" thickBot="1">
      <c r="B169" s="86" t="s">
        <v>153</v>
      </c>
      <c r="C169" s="87">
        <v>0</v>
      </c>
      <c r="D169" s="87">
        <v>0</v>
      </c>
      <c r="E169" s="87">
        <v>0</v>
      </c>
      <c r="F169" s="87">
        <v>0</v>
      </c>
      <c r="G169" s="87">
        <v>0</v>
      </c>
      <c r="H169" s="87">
        <v>0</v>
      </c>
      <c r="I169" s="87">
        <v>0</v>
      </c>
      <c r="J169" s="87">
        <v>0</v>
      </c>
      <c r="K169" s="87">
        <v>0</v>
      </c>
      <c r="L169" s="87">
        <v>0</v>
      </c>
      <c r="M169" s="87">
        <v>0</v>
      </c>
      <c r="N169" s="87">
        <v>0</v>
      </c>
      <c r="O169" s="87">
        <v>0</v>
      </c>
      <c r="P169" s="315" t="s">
        <v>159</v>
      </c>
      <c r="Q169" s="315" t="s">
        <v>160</v>
      </c>
      <c r="R169" s="315" t="s">
        <v>160</v>
      </c>
      <c r="S169" s="315" t="s">
        <v>160</v>
      </c>
      <c r="T169" s="315" t="s">
        <v>160</v>
      </c>
      <c r="V169" s="86" t="s">
        <v>153</v>
      </c>
      <c r="W169" s="315">
        <v>0</v>
      </c>
      <c r="X169" s="315">
        <v>0</v>
      </c>
      <c r="Y169" s="315">
        <v>0</v>
      </c>
      <c r="Z169" s="315">
        <v>8400</v>
      </c>
      <c r="AA169" s="524">
        <v>0</v>
      </c>
      <c r="AB169" s="524">
        <v>0</v>
      </c>
    </row>
    <row r="170" spans="2:28" ht="15.6" thickBot="1">
      <c r="B170" s="84" t="s">
        <v>124</v>
      </c>
      <c r="C170" s="90">
        <v>69063</v>
      </c>
      <c r="D170" s="90">
        <v>77683</v>
      </c>
      <c r="E170" s="90">
        <v>80437</v>
      </c>
      <c r="F170" s="90">
        <v>81909</v>
      </c>
      <c r="G170" s="90">
        <v>84144</v>
      </c>
      <c r="H170" s="90">
        <v>82660</v>
      </c>
      <c r="I170" s="90">
        <v>85181</v>
      </c>
      <c r="J170" s="90">
        <v>87290</v>
      </c>
      <c r="K170" s="90">
        <v>89398</v>
      </c>
      <c r="L170" s="90">
        <v>90865</v>
      </c>
      <c r="M170" s="90">
        <v>93766</v>
      </c>
      <c r="N170" s="90">
        <v>96072</v>
      </c>
      <c r="O170" s="90">
        <v>98586</v>
      </c>
      <c r="P170" s="90">
        <v>101096</v>
      </c>
      <c r="Q170" s="90">
        <v>103358</v>
      </c>
      <c r="R170" s="90">
        <v>93746</v>
      </c>
      <c r="S170" s="90">
        <v>109349</v>
      </c>
      <c r="T170" s="90">
        <v>91424</v>
      </c>
      <c r="V170" s="84" t="s">
        <v>124</v>
      </c>
      <c r="W170" s="90">
        <v>93406</v>
      </c>
      <c r="X170" s="90">
        <v>95080</v>
      </c>
      <c r="Y170" s="90">
        <v>98150</v>
      </c>
      <c r="Z170" s="90">
        <v>79829</v>
      </c>
      <c r="AA170" s="90">
        <f>SUM(AA162:AA169)</f>
        <v>77929</v>
      </c>
      <c r="AB170" s="90">
        <v>81081</v>
      </c>
    </row>
    <row r="171" spans="2:28" ht="15.6" thickBot="1">
      <c r="B171" s="92" t="s">
        <v>125</v>
      </c>
      <c r="C171" s="93">
        <v>158792</v>
      </c>
      <c r="D171" s="93">
        <v>149158</v>
      </c>
      <c r="E171" s="93">
        <v>167573</v>
      </c>
      <c r="F171" s="93">
        <v>198178</v>
      </c>
      <c r="G171" s="93">
        <v>176530</v>
      </c>
      <c r="H171" s="93">
        <v>147393</v>
      </c>
      <c r="I171" s="93">
        <v>187595</v>
      </c>
      <c r="J171" s="93">
        <v>182282</v>
      </c>
      <c r="K171" s="93">
        <v>187827</v>
      </c>
      <c r="L171" s="93">
        <v>160411</v>
      </c>
      <c r="M171" s="93">
        <v>209591</v>
      </c>
      <c r="N171" s="93">
        <v>204813</v>
      </c>
      <c r="O171" s="93">
        <v>188239</v>
      </c>
      <c r="P171" s="93">
        <v>184750</v>
      </c>
      <c r="Q171" s="93">
        <v>198481</v>
      </c>
      <c r="R171" s="93">
        <v>212134</v>
      </c>
      <c r="S171" s="93">
        <v>218006</v>
      </c>
      <c r="T171" s="93">
        <v>186953</v>
      </c>
      <c r="V171" s="92" t="s">
        <v>125</v>
      </c>
      <c r="W171" s="93">
        <v>226862</v>
      </c>
      <c r="X171" s="93">
        <v>235889</v>
      </c>
      <c r="Y171" s="93">
        <v>248381</v>
      </c>
      <c r="Z171" s="93">
        <v>226567</v>
      </c>
      <c r="AA171" s="93">
        <f>+AA160+AA170</f>
        <v>274782</v>
      </c>
      <c r="AB171" s="93">
        <v>318437</v>
      </c>
    </row>
    <row r="172" spans="2:28" ht="15.6" thickBot="1">
      <c r="B172" s="95"/>
      <c r="C172" s="96"/>
      <c r="D172" s="96"/>
      <c r="E172" s="96"/>
      <c r="F172" s="96"/>
      <c r="G172" s="96"/>
      <c r="H172" s="96"/>
      <c r="I172" s="96"/>
      <c r="J172" s="96"/>
      <c r="K172" s="96"/>
      <c r="L172" s="96"/>
      <c r="M172" s="96"/>
      <c r="N172" s="96"/>
      <c r="O172" s="96"/>
      <c r="P172" s="322"/>
      <c r="Q172" s="96" t="s">
        <v>162</v>
      </c>
      <c r="R172" s="96" t="s">
        <v>162</v>
      </c>
      <c r="S172" s="96">
        <v>0</v>
      </c>
      <c r="V172" s="95"/>
    </row>
    <row r="173" spans="2:28" ht="15.6" thickBot="1">
      <c r="B173" s="102" t="s">
        <v>126</v>
      </c>
      <c r="C173" s="101"/>
      <c r="D173" s="101"/>
      <c r="E173" s="101"/>
      <c r="F173" s="101"/>
      <c r="G173" s="101"/>
      <c r="H173" s="101"/>
      <c r="I173" s="101"/>
      <c r="J173" s="101"/>
      <c r="K173" s="101"/>
      <c r="L173" s="101"/>
      <c r="M173" s="101"/>
      <c r="N173" s="101"/>
      <c r="O173" s="101"/>
      <c r="P173" s="101" t="s">
        <v>162</v>
      </c>
      <c r="Q173" s="101" t="s">
        <v>162</v>
      </c>
      <c r="R173" s="101" t="s">
        <v>162</v>
      </c>
      <c r="S173" s="101">
        <v>0</v>
      </c>
      <c r="T173" s="101"/>
      <c r="V173" s="102" t="s">
        <v>126</v>
      </c>
      <c r="W173" s="101"/>
      <c r="X173" s="101"/>
      <c r="Y173" s="101"/>
      <c r="Z173" s="101"/>
      <c r="AA173" s="101"/>
      <c r="AB173" s="101"/>
    </row>
    <row r="174" spans="2:28" ht="16.2" thickBot="1">
      <c r="B174" s="86" t="s">
        <v>127</v>
      </c>
      <c r="C174" s="87">
        <v>73050</v>
      </c>
      <c r="D174" s="87">
        <v>73050</v>
      </c>
      <c r="E174" s="87">
        <v>73050</v>
      </c>
      <c r="F174" s="87">
        <v>73050</v>
      </c>
      <c r="G174" s="87">
        <v>73050</v>
      </c>
      <c r="H174" s="87">
        <v>73050</v>
      </c>
      <c r="I174" s="87">
        <v>73050</v>
      </c>
      <c r="J174" s="87">
        <v>73050</v>
      </c>
      <c r="K174" s="87">
        <v>73050</v>
      </c>
      <c r="L174" s="87">
        <v>73050</v>
      </c>
      <c r="M174" s="87">
        <v>73050</v>
      </c>
      <c r="N174" s="87">
        <v>73050</v>
      </c>
      <c r="O174" s="87">
        <v>73050</v>
      </c>
      <c r="P174" s="315">
        <v>73050</v>
      </c>
      <c r="Q174" s="315">
        <v>73050</v>
      </c>
      <c r="R174" s="315">
        <v>73050</v>
      </c>
      <c r="S174" s="315">
        <v>73050</v>
      </c>
      <c r="T174" s="524">
        <v>73050</v>
      </c>
      <c r="V174" s="86" t="s">
        <v>127</v>
      </c>
      <c r="W174" s="524">
        <v>73050</v>
      </c>
      <c r="X174" s="524">
        <v>73050</v>
      </c>
      <c r="Y174" s="524">
        <v>73050</v>
      </c>
      <c r="Z174" s="524">
        <v>73050</v>
      </c>
      <c r="AA174" s="524">
        <v>73050</v>
      </c>
      <c r="AB174" s="524">
        <v>73050</v>
      </c>
    </row>
    <row r="175" spans="2:28" ht="16.2" thickBot="1">
      <c r="B175" s="86" t="s">
        <v>128</v>
      </c>
      <c r="C175" s="87">
        <v>0</v>
      </c>
      <c r="D175" s="87">
        <v>0</v>
      </c>
      <c r="E175" s="87">
        <v>0</v>
      </c>
      <c r="F175" s="87">
        <v>0</v>
      </c>
      <c r="G175" s="87">
        <v>0</v>
      </c>
      <c r="H175" s="87">
        <v>0</v>
      </c>
      <c r="I175" s="87">
        <v>0</v>
      </c>
      <c r="J175" s="87">
        <v>0</v>
      </c>
      <c r="K175" s="87">
        <v>0</v>
      </c>
      <c r="L175" s="87">
        <v>0</v>
      </c>
      <c r="M175" s="87">
        <v>0</v>
      </c>
      <c r="N175" s="87">
        <v>0</v>
      </c>
      <c r="O175" s="87">
        <v>0</v>
      </c>
      <c r="P175" s="315" t="s">
        <v>159</v>
      </c>
      <c r="Q175" s="315" t="s">
        <v>160</v>
      </c>
      <c r="R175" s="315" t="s">
        <v>160</v>
      </c>
      <c r="S175" s="315" t="s">
        <v>160</v>
      </c>
      <c r="T175" s="315" t="s">
        <v>160</v>
      </c>
      <c r="V175" s="86" t="s">
        <v>128</v>
      </c>
      <c r="W175" s="315">
        <v>0</v>
      </c>
      <c r="X175" s="315">
        <v>0</v>
      </c>
      <c r="Y175" s="315">
        <v>0</v>
      </c>
      <c r="Z175" s="315">
        <v>0</v>
      </c>
      <c r="AA175" s="315"/>
      <c r="AB175" s="315"/>
    </row>
    <row r="176" spans="2:28" ht="16.2" thickBot="1">
      <c r="B176" s="86" t="s">
        <v>129</v>
      </c>
      <c r="C176" s="87">
        <v>4962</v>
      </c>
      <c r="D176" s="87">
        <v>7325</v>
      </c>
      <c r="E176" s="87">
        <v>9767</v>
      </c>
      <c r="F176" s="87">
        <v>9767</v>
      </c>
      <c r="G176" s="87">
        <v>9767</v>
      </c>
      <c r="H176" s="87">
        <v>9767</v>
      </c>
      <c r="I176" s="87">
        <v>12414</v>
      </c>
      <c r="J176" s="87">
        <v>12414</v>
      </c>
      <c r="K176" s="87">
        <v>12414</v>
      </c>
      <c r="L176" s="87">
        <v>12414</v>
      </c>
      <c r="M176" s="87">
        <v>15709</v>
      </c>
      <c r="N176" s="87">
        <v>15709</v>
      </c>
      <c r="O176" s="87">
        <v>15709</v>
      </c>
      <c r="P176" s="315">
        <v>15709</v>
      </c>
      <c r="Q176" s="315">
        <v>18651</v>
      </c>
      <c r="R176" s="315">
        <v>18651</v>
      </c>
      <c r="S176" s="315">
        <v>18651</v>
      </c>
      <c r="T176" s="524">
        <v>18651</v>
      </c>
      <c r="V176" s="86" t="s">
        <v>129</v>
      </c>
      <c r="W176" s="524">
        <v>22460</v>
      </c>
      <c r="X176" s="524">
        <v>22460</v>
      </c>
      <c r="Y176" s="524">
        <v>22460</v>
      </c>
      <c r="Z176" s="524">
        <v>22460</v>
      </c>
      <c r="AA176" s="524">
        <v>27209</v>
      </c>
      <c r="AB176" s="732">
        <v>27209</v>
      </c>
    </row>
    <row r="177" spans="1:28" ht="16.2" thickBot="1">
      <c r="B177" s="86" t="s">
        <v>130</v>
      </c>
      <c r="C177" s="87">
        <v>-21651</v>
      </c>
      <c r="D177" s="87">
        <v>-21651</v>
      </c>
      <c r="E177" s="87">
        <v>-21650</v>
      </c>
      <c r="F177" s="87">
        <v>-21650</v>
      </c>
      <c r="G177" s="87">
        <v>-21650</v>
      </c>
      <c r="H177" s="87">
        <v>-22095</v>
      </c>
      <c r="I177" s="87">
        <v>-22095</v>
      </c>
      <c r="J177" s="87">
        <v>-22095</v>
      </c>
      <c r="K177" s="87">
        <v>-22095</v>
      </c>
      <c r="L177" s="87">
        <v>-22095</v>
      </c>
      <c r="M177" s="87">
        <v>-22095</v>
      </c>
      <c r="N177" s="87">
        <v>-22095</v>
      </c>
      <c r="O177" s="87">
        <v>-22095</v>
      </c>
      <c r="P177" s="315">
        <v>-22095</v>
      </c>
      <c r="Q177" s="315">
        <v>-22095</v>
      </c>
      <c r="R177" s="315">
        <v>-22095</v>
      </c>
      <c r="S177" s="315">
        <v>-22081</v>
      </c>
      <c r="T177" s="524">
        <v>-22095</v>
      </c>
      <c r="V177" s="86" t="s">
        <v>130</v>
      </c>
      <c r="W177" s="524">
        <v>-44474</v>
      </c>
      <c r="X177" s="524">
        <v>-44474</v>
      </c>
      <c r="Y177" s="524">
        <v>-44474</v>
      </c>
      <c r="Z177" s="524">
        <v>-44475</v>
      </c>
      <c r="AA177" s="524">
        <v>-44475</v>
      </c>
      <c r="AB177" s="732">
        <v>-44475</v>
      </c>
    </row>
    <row r="178" spans="1:28" ht="16.2" thickBot="1">
      <c r="B178" s="86" t="s">
        <v>131</v>
      </c>
      <c r="C178" s="87">
        <v>23629</v>
      </c>
      <c r="D178" s="87">
        <v>24422</v>
      </c>
      <c r="E178" s="87">
        <v>6704</v>
      </c>
      <c r="F178" s="87">
        <v>15266</v>
      </c>
      <c r="G178" s="87">
        <v>22018</v>
      </c>
      <c r="H178" s="87">
        <v>26478</v>
      </c>
      <c r="I178" s="87">
        <v>7572</v>
      </c>
      <c r="J178" s="87">
        <v>14473</v>
      </c>
      <c r="K178" s="87">
        <v>22662</v>
      </c>
      <c r="L178" s="87">
        <v>32943</v>
      </c>
      <c r="M178" s="87">
        <v>8574</v>
      </c>
      <c r="N178" s="87">
        <v>13182</v>
      </c>
      <c r="O178" s="87">
        <v>21555</v>
      </c>
      <c r="P178" s="315">
        <v>29424</v>
      </c>
      <c r="Q178" s="315">
        <v>9070</v>
      </c>
      <c r="R178" s="315">
        <v>17966</v>
      </c>
      <c r="S178" s="315">
        <v>31368</v>
      </c>
      <c r="T178" s="524">
        <v>15713</v>
      </c>
      <c r="V178" s="86" t="s">
        <v>131</v>
      </c>
      <c r="W178" s="524">
        <v>11279</v>
      </c>
      <c r="X178" s="524">
        <v>23137</v>
      </c>
      <c r="Y178" s="524">
        <v>36169</v>
      </c>
      <c r="Z178" s="524">
        <v>47481.05</v>
      </c>
      <c r="AA178" s="524">
        <v>12715.129850999954</v>
      </c>
      <c r="AB178" s="732">
        <v>25125.689061999998</v>
      </c>
    </row>
    <row r="179" spans="1:28" ht="16.2" thickBot="1">
      <c r="B179" s="86" t="s">
        <v>132</v>
      </c>
      <c r="C179" s="87">
        <v>-3164</v>
      </c>
      <c r="D179" s="87">
        <v>-4108</v>
      </c>
      <c r="E179" s="87">
        <v>-4108</v>
      </c>
      <c r="F179" s="87">
        <v>-4108</v>
      </c>
      <c r="G179" s="87">
        <v>-4110</v>
      </c>
      <c r="H179" s="87">
        <v>-2991</v>
      </c>
      <c r="I179" s="87">
        <v>-2992</v>
      </c>
      <c r="J179" s="87">
        <v>-2991</v>
      </c>
      <c r="K179" s="87">
        <v>-2989</v>
      </c>
      <c r="L179" s="87">
        <v>-3975</v>
      </c>
      <c r="M179" s="87">
        <v>-3975</v>
      </c>
      <c r="N179" s="87">
        <v>-3975</v>
      </c>
      <c r="O179" s="87">
        <v>-3974</v>
      </c>
      <c r="P179" s="315">
        <v>-8588</v>
      </c>
      <c r="Q179" s="315">
        <v>-8588</v>
      </c>
      <c r="R179" s="315">
        <v>-8588</v>
      </c>
      <c r="S179" s="315">
        <v>-8292</v>
      </c>
      <c r="T179" s="524">
        <v>7715</v>
      </c>
      <c r="V179" s="86" t="s">
        <v>132</v>
      </c>
      <c r="W179" s="524">
        <v>7714</v>
      </c>
      <c r="X179" s="524">
        <v>7714</v>
      </c>
      <c r="Y179" s="524">
        <v>7714</v>
      </c>
      <c r="Z179" s="524">
        <v>32109</v>
      </c>
      <c r="AA179" s="524">
        <v>32109</v>
      </c>
      <c r="AB179" s="732">
        <v>32109</v>
      </c>
    </row>
    <row r="180" spans="1:28" ht="15.6" thickBot="1">
      <c r="B180" s="84" t="s">
        <v>135</v>
      </c>
      <c r="C180" s="90">
        <v>76826</v>
      </c>
      <c r="D180" s="90">
        <v>79038</v>
      </c>
      <c r="E180" s="90">
        <v>63763</v>
      </c>
      <c r="F180" s="90">
        <v>72325</v>
      </c>
      <c r="G180" s="90">
        <v>79075</v>
      </c>
      <c r="H180" s="90">
        <v>84209</v>
      </c>
      <c r="I180" s="90">
        <v>67949</v>
      </c>
      <c r="J180" s="90">
        <v>74851</v>
      </c>
      <c r="K180" s="90">
        <v>83042</v>
      </c>
      <c r="L180" s="90">
        <v>92337</v>
      </c>
      <c r="M180" s="90">
        <v>71263</v>
      </c>
      <c r="N180" s="90">
        <v>75871</v>
      </c>
      <c r="O180" s="90">
        <v>84245</v>
      </c>
      <c r="P180" s="90">
        <v>87500</v>
      </c>
      <c r="Q180" s="90">
        <v>70088</v>
      </c>
      <c r="R180" s="90">
        <v>78985</v>
      </c>
      <c r="S180" s="90">
        <v>92696</v>
      </c>
      <c r="T180" s="90">
        <v>93034</v>
      </c>
      <c r="V180" s="84" t="s">
        <v>135</v>
      </c>
      <c r="W180" s="90">
        <v>70029</v>
      </c>
      <c r="X180" s="90">
        <v>81887</v>
      </c>
      <c r="Y180" s="90">
        <v>94919</v>
      </c>
      <c r="Z180" s="90">
        <v>130625.05</v>
      </c>
      <c r="AA180" s="90">
        <f>SUM(AA174:AA179)</f>
        <v>100608.12985099995</v>
      </c>
      <c r="AB180" s="733">
        <v>113018.68906199999</v>
      </c>
    </row>
    <row r="181" spans="1:28" ht="15.6" thickBot="1">
      <c r="B181" s="103" t="s">
        <v>136</v>
      </c>
      <c r="C181" s="93">
        <v>235618</v>
      </c>
      <c r="D181" s="93">
        <v>228196</v>
      </c>
      <c r="E181" s="93">
        <v>231336</v>
      </c>
      <c r="F181" s="93">
        <v>270503</v>
      </c>
      <c r="G181" s="93">
        <v>255605</v>
      </c>
      <c r="H181" s="93">
        <v>231602</v>
      </c>
      <c r="I181" s="93">
        <v>255544</v>
      </c>
      <c r="J181" s="93">
        <v>257133</v>
      </c>
      <c r="K181" s="93">
        <v>270869</v>
      </c>
      <c r="L181" s="93">
        <v>252748</v>
      </c>
      <c r="M181" s="93">
        <v>280854</v>
      </c>
      <c r="N181" s="93">
        <v>280684</v>
      </c>
      <c r="O181" s="93">
        <v>272484</v>
      </c>
      <c r="P181" s="93">
        <v>272250</v>
      </c>
      <c r="Q181" s="93">
        <v>268569</v>
      </c>
      <c r="R181" s="93">
        <v>291119</v>
      </c>
      <c r="S181" s="93">
        <v>310702</v>
      </c>
      <c r="T181" s="93">
        <v>279987</v>
      </c>
      <c r="V181" s="103" t="s">
        <v>136</v>
      </c>
      <c r="W181" s="93">
        <v>296891</v>
      </c>
      <c r="X181" s="93">
        <v>317776</v>
      </c>
      <c r="Y181" s="93">
        <v>343300</v>
      </c>
      <c r="Z181" s="93">
        <v>357192.05</v>
      </c>
      <c r="AA181" s="93">
        <f>+AA171+AA180</f>
        <v>375390.12985099992</v>
      </c>
      <c r="AB181" s="734">
        <v>431455.68906200002</v>
      </c>
    </row>
    <row r="182" spans="1:28" ht="15.6">
      <c r="B182" s="68"/>
      <c r="C182" s="104">
        <f>+C148-C171-C180</f>
        <v>0</v>
      </c>
      <c r="D182" s="104">
        <f t="shared" ref="D182:N182" si="44">+D148-D171-D180</f>
        <v>0</v>
      </c>
      <c r="E182" s="104">
        <f t="shared" si="44"/>
        <v>0</v>
      </c>
      <c r="F182" s="104">
        <f t="shared" si="44"/>
        <v>0</v>
      </c>
      <c r="G182" s="104">
        <f t="shared" si="44"/>
        <v>0</v>
      </c>
      <c r="H182" s="104">
        <f t="shared" si="44"/>
        <v>0</v>
      </c>
      <c r="I182" s="104">
        <f t="shared" si="44"/>
        <v>0</v>
      </c>
      <c r="J182" s="104">
        <f t="shared" si="44"/>
        <v>0</v>
      </c>
      <c r="K182" s="104">
        <f t="shared" si="44"/>
        <v>0</v>
      </c>
      <c r="L182" s="104">
        <f t="shared" si="44"/>
        <v>0</v>
      </c>
      <c r="M182" s="104">
        <f t="shared" si="44"/>
        <v>0</v>
      </c>
      <c r="N182" s="104">
        <f t="shared" si="44"/>
        <v>0</v>
      </c>
      <c r="O182" s="104">
        <v>0</v>
      </c>
      <c r="P182" s="323"/>
    </row>
    <row r="183" spans="1:28" ht="15.6">
      <c r="B183" s="67"/>
      <c r="C183" s="105">
        <f>+C116-C178</f>
        <v>0</v>
      </c>
      <c r="D183" s="105">
        <f>+D116-D178</f>
        <v>0</v>
      </c>
      <c r="E183" s="105">
        <f>+E116-E178</f>
        <v>0</v>
      </c>
      <c r="F183" s="105">
        <f>+F116+E116-F178</f>
        <v>0</v>
      </c>
      <c r="G183" s="105">
        <f>+G116+F116+E116-G178</f>
        <v>0</v>
      </c>
      <c r="H183" s="105">
        <f>+H116+G116+F116+E116-H178</f>
        <v>0</v>
      </c>
      <c r="I183" s="105">
        <f>+I116-I178</f>
        <v>0</v>
      </c>
      <c r="J183" s="105">
        <f>+J116+I116-J178</f>
        <v>0</v>
      </c>
      <c r="K183" s="105">
        <f>+K116+J116+I116-K178</f>
        <v>0</v>
      </c>
      <c r="L183" s="105">
        <f>+L116+K116+J116+I116-L178</f>
        <v>0</v>
      </c>
      <c r="M183" s="105">
        <f>+M116-M178</f>
        <v>0</v>
      </c>
      <c r="N183" s="105">
        <f>+N116+M116-N178</f>
        <v>0</v>
      </c>
      <c r="O183" s="105">
        <v>0</v>
      </c>
      <c r="P183" s="316"/>
    </row>
    <row r="184" spans="1:28" ht="15.6">
      <c r="B184" s="67"/>
      <c r="C184" s="111"/>
      <c r="D184" s="111"/>
      <c r="E184" s="111"/>
      <c r="F184" s="111"/>
      <c r="G184" s="111"/>
      <c r="H184" s="111"/>
      <c r="I184" s="111"/>
      <c r="J184" s="111"/>
      <c r="K184" s="111"/>
      <c r="L184" s="111"/>
      <c r="M184" s="111"/>
      <c r="N184" s="111"/>
      <c r="O184" s="111"/>
      <c r="P184" s="302"/>
    </row>
    <row r="185" spans="1:28" ht="15.6">
      <c r="A185" s="48" t="s">
        <v>137</v>
      </c>
      <c r="B185" s="11" t="s">
        <v>170</v>
      </c>
      <c r="C185" s="5"/>
      <c r="D185" s="5"/>
      <c r="E185" s="6"/>
      <c r="F185" s="5"/>
      <c r="G185" s="5"/>
      <c r="H185" s="5"/>
      <c r="I185" s="6"/>
      <c r="J185" s="5"/>
      <c r="K185" s="5"/>
      <c r="L185" s="5"/>
      <c r="M185" s="6"/>
      <c r="N185" s="5"/>
      <c r="O185" s="5"/>
      <c r="P185" s="302"/>
    </row>
    <row r="186" spans="1:28" ht="15.6">
      <c r="B186" s="13" t="s">
        <v>39</v>
      </c>
      <c r="C186" s="68"/>
      <c r="D186" s="68"/>
      <c r="E186" s="68"/>
      <c r="F186" s="68"/>
      <c r="G186" s="68"/>
      <c r="H186" s="68"/>
      <c r="I186" s="68"/>
      <c r="J186" s="68"/>
      <c r="K186" s="68"/>
      <c r="L186" s="68"/>
      <c r="M186" s="68"/>
      <c r="N186" s="68"/>
      <c r="O186" s="68"/>
      <c r="P186" s="302"/>
    </row>
    <row r="187" spans="1:28" ht="15.6">
      <c r="B187" s="8"/>
      <c r="C187" s="8"/>
      <c r="D187" s="8"/>
      <c r="E187" s="8"/>
      <c r="F187" s="8"/>
      <c r="G187" s="8"/>
      <c r="H187" s="8"/>
      <c r="I187" s="8"/>
      <c r="J187" s="8"/>
      <c r="K187" s="8"/>
      <c r="L187" s="8"/>
      <c r="M187" s="8"/>
      <c r="N187" s="8"/>
      <c r="O187" s="8"/>
      <c r="P187" s="302"/>
      <c r="V187" s="28"/>
    </row>
    <row r="188" spans="1:28" s="28" customFormat="1" ht="15.6">
      <c r="B188" s="69"/>
      <c r="C188" s="70">
        <v>2016</v>
      </c>
      <c r="D188" s="70">
        <v>2017</v>
      </c>
      <c r="E188" s="70" t="s">
        <v>40</v>
      </c>
      <c r="F188" s="70" t="s">
        <v>41</v>
      </c>
      <c r="G188" s="70" t="s">
        <v>42</v>
      </c>
      <c r="H188" s="70" t="s">
        <v>43</v>
      </c>
      <c r="I188" s="70" t="s">
        <v>44</v>
      </c>
      <c r="J188" s="441" t="s">
        <v>45</v>
      </c>
      <c r="K188" s="441" t="s">
        <v>46</v>
      </c>
      <c r="L188" s="441" t="s">
        <v>47</v>
      </c>
      <c r="M188" s="441" t="s">
        <v>48</v>
      </c>
      <c r="N188" s="441" t="s">
        <v>49</v>
      </c>
      <c r="O188" s="441" t="s">
        <v>50</v>
      </c>
      <c r="P188" s="441" t="s">
        <v>51</v>
      </c>
      <c r="Q188" s="441" t="s">
        <v>52</v>
      </c>
      <c r="R188" s="441" t="s">
        <v>53</v>
      </c>
      <c r="S188" s="441" t="s">
        <v>54</v>
      </c>
      <c r="T188" s="441" t="s">
        <v>55</v>
      </c>
      <c r="U188"/>
      <c r="V188" s="69"/>
      <c r="W188" s="70" t="s">
        <v>87</v>
      </c>
      <c r="X188" s="70" t="s">
        <v>56</v>
      </c>
      <c r="Y188" s="70" t="s">
        <v>57</v>
      </c>
      <c r="Z188" s="70" t="s">
        <v>1154</v>
      </c>
      <c r="AA188" s="70" t="str">
        <f>+AA7</f>
        <v>1T23</v>
      </c>
      <c r="AB188" s="70" t="s">
        <v>1207</v>
      </c>
    </row>
    <row r="189" spans="1:28" ht="15.6">
      <c r="B189" s="71"/>
      <c r="C189" s="8"/>
      <c r="D189" s="8"/>
      <c r="E189" s="8"/>
      <c r="F189" s="8"/>
      <c r="G189" s="8"/>
      <c r="H189" s="8"/>
      <c r="I189" s="8"/>
      <c r="J189" s="8"/>
      <c r="K189" s="8"/>
      <c r="L189" s="8"/>
      <c r="M189" s="8"/>
      <c r="N189" s="8"/>
      <c r="O189" s="8"/>
      <c r="P189" s="302"/>
    </row>
    <row r="190" spans="1:28" ht="15.6">
      <c r="B190" s="72" t="s">
        <v>142</v>
      </c>
      <c r="C190" s="107">
        <v>129114</v>
      </c>
      <c r="D190" s="107">
        <v>129681</v>
      </c>
      <c r="E190" s="107">
        <v>32993</v>
      </c>
      <c r="F190" s="107">
        <v>32961</v>
      </c>
      <c r="G190" s="107">
        <v>33349</v>
      </c>
      <c r="H190" s="107">
        <v>33847</v>
      </c>
      <c r="I190" s="107">
        <v>34073</v>
      </c>
      <c r="J190" s="107">
        <v>34509</v>
      </c>
      <c r="K190" s="107">
        <v>35213</v>
      </c>
      <c r="L190" s="107">
        <v>35723</v>
      </c>
      <c r="M190" s="107">
        <v>35290</v>
      </c>
      <c r="N190" s="107">
        <v>35995</v>
      </c>
      <c r="O190" s="107">
        <v>35693</v>
      </c>
      <c r="P190" s="317">
        <v>36252</v>
      </c>
      <c r="Q190" s="107">
        <v>36593</v>
      </c>
      <c r="R190" s="107">
        <v>38796</v>
      </c>
      <c r="S190" s="107">
        <v>40453</v>
      </c>
      <c r="T190" s="107">
        <v>41478</v>
      </c>
      <c r="V190" s="72" t="s">
        <v>142</v>
      </c>
      <c r="W190" s="107">
        <v>44664</v>
      </c>
      <c r="X190" s="107">
        <v>47627</v>
      </c>
      <c r="Y190" s="107">
        <v>49451</v>
      </c>
      <c r="Z190" s="107">
        <v>41565</v>
      </c>
      <c r="AA190" s="107">
        <v>43670</v>
      </c>
      <c r="AB190" s="107">
        <v>44599</v>
      </c>
    </row>
    <row r="191" spans="1:28" ht="15.6">
      <c r="B191" s="72" t="s">
        <v>143</v>
      </c>
      <c r="C191" s="107">
        <v>105814</v>
      </c>
      <c r="D191" s="107">
        <v>105442</v>
      </c>
      <c r="E191" s="107">
        <v>26867</v>
      </c>
      <c r="F191" s="107">
        <v>27098</v>
      </c>
      <c r="G191" s="107">
        <v>27421</v>
      </c>
      <c r="H191" s="107">
        <v>29532</v>
      </c>
      <c r="I191" s="107">
        <v>28710</v>
      </c>
      <c r="J191" s="107">
        <v>29079</v>
      </c>
      <c r="K191" s="107">
        <v>29392</v>
      </c>
      <c r="L191" s="107">
        <v>30072</v>
      </c>
      <c r="M191" s="107">
        <v>29659</v>
      </c>
      <c r="N191" s="107">
        <v>29636</v>
      </c>
      <c r="O191" s="107">
        <v>29580</v>
      </c>
      <c r="P191" s="317">
        <v>30364</v>
      </c>
      <c r="Q191" s="107">
        <v>30656</v>
      </c>
      <c r="R191" s="107">
        <v>32697</v>
      </c>
      <c r="S191" s="107">
        <v>32684</v>
      </c>
      <c r="T191" s="107">
        <v>35783</v>
      </c>
      <c r="V191" s="72" t="s">
        <v>143</v>
      </c>
      <c r="W191" s="107">
        <v>37512</v>
      </c>
      <c r="X191" s="107">
        <v>39778</v>
      </c>
      <c r="Y191" s="107">
        <v>40015</v>
      </c>
      <c r="Z191" s="107">
        <v>42875</v>
      </c>
      <c r="AA191" s="107">
        <v>42418</v>
      </c>
      <c r="AB191" s="107">
        <v>39126</v>
      </c>
    </row>
    <row r="192" spans="1:28" ht="15.6">
      <c r="B192" s="72" t="s">
        <v>171</v>
      </c>
      <c r="C192" s="107">
        <v>101</v>
      </c>
      <c r="D192" s="107">
        <v>75</v>
      </c>
      <c r="E192" s="107">
        <v>18</v>
      </c>
      <c r="F192" s="107">
        <v>18</v>
      </c>
      <c r="G192" s="107">
        <v>361</v>
      </c>
      <c r="H192" s="107">
        <v>-325</v>
      </c>
      <c r="I192" s="107">
        <v>18</v>
      </c>
      <c r="J192" s="107">
        <v>19</v>
      </c>
      <c r="K192" s="107">
        <v>19</v>
      </c>
      <c r="L192" s="107">
        <v>18</v>
      </c>
      <c r="M192" s="107">
        <v>19</v>
      </c>
      <c r="N192" s="107">
        <v>19</v>
      </c>
      <c r="O192" s="107">
        <v>19</v>
      </c>
      <c r="P192" s="317">
        <v>19</v>
      </c>
      <c r="Q192" s="107">
        <v>19</v>
      </c>
      <c r="R192" s="107">
        <v>20</v>
      </c>
      <c r="S192" s="107">
        <v>20</v>
      </c>
      <c r="T192" s="107">
        <v>20</v>
      </c>
      <c r="V192" s="72" t="s">
        <v>171</v>
      </c>
      <c r="W192" s="107">
        <v>21</v>
      </c>
      <c r="X192" s="107">
        <v>21</v>
      </c>
      <c r="Y192" s="107">
        <v>22</v>
      </c>
      <c r="Z192" s="107">
        <v>23</v>
      </c>
      <c r="AA192" s="107">
        <v>24</v>
      </c>
      <c r="AB192" s="107">
        <v>24</v>
      </c>
    </row>
    <row r="193" spans="2:28" ht="15.6">
      <c r="B193" s="72" t="s">
        <v>68</v>
      </c>
      <c r="C193" s="107">
        <v>8443</v>
      </c>
      <c r="D193" s="107">
        <v>8866</v>
      </c>
      <c r="E193" s="107">
        <v>2525</v>
      </c>
      <c r="F193" s="107">
        <v>2019</v>
      </c>
      <c r="G193" s="107">
        <v>1974</v>
      </c>
      <c r="H193" s="107">
        <v>2702</v>
      </c>
      <c r="I193" s="107">
        <v>1370</v>
      </c>
      <c r="J193" s="107">
        <v>2975</v>
      </c>
      <c r="K193" s="107">
        <v>2660</v>
      </c>
      <c r="L193" s="107">
        <v>3527</v>
      </c>
      <c r="M193" s="107">
        <v>1913</v>
      </c>
      <c r="N193" s="107">
        <v>2026</v>
      </c>
      <c r="O193" s="107">
        <v>2111</v>
      </c>
      <c r="P193" s="317">
        <v>2841</v>
      </c>
      <c r="Q193" s="107">
        <v>2890</v>
      </c>
      <c r="R193" s="107">
        <v>1956</v>
      </c>
      <c r="S193" s="107">
        <v>2014</v>
      </c>
      <c r="T193" s="107">
        <v>2319</v>
      </c>
      <c r="V193" s="72" t="s">
        <v>68</v>
      </c>
      <c r="W193" s="107">
        <v>1544</v>
      </c>
      <c r="X193" s="107">
        <v>4096</v>
      </c>
      <c r="Y193" s="107">
        <v>1793</v>
      </c>
      <c r="Z193" s="107">
        <v>2383</v>
      </c>
      <c r="AA193" s="107">
        <v>1995</v>
      </c>
      <c r="AB193" s="107">
        <v>2779</v>
      </c>
    </row>
    <row r="194" spans="2:28" ht="15.6">
      <c r="B194" s="72" t="s">
        <v>69</v>
      </c>
      <c r="C194" s="107">
        <v>78240</v>
      </c>
      <c r="D194" s="107">
        <v>80724</v>
      </c>
      <c r="E194" s="107">
        <v>19907</v>
      </c>
      <c r="F194" s="107">
        <v>19822</v>
      </c>
      <c r="G194" s="107">
        <v>20044</v>
      </c>
      <c r="H194" s="107">
        <v>23718</v>
      </c>
      <c r="I194" s="107">
        <v>19579</v>
      </c>
      <c r="J194" s="107">
        <v>20953</v>
      </c>
      <c r="K194" s="107">
        <v>20303</v>
      </c>
      <c r="L194" s="107">
        <v>25693</v>
      </c>
      <c r="M194" s="107">
        <v>21797</v>
      </c>
      <c r="N194" s="107">
        <v>20844</v>
      </c>
      <c r="O194" s="107">
        <v>20757</v>
      </c>
      <c r="P194" s="317">
        <v>27753</v>
      </c>
      <c r="Q194" s="107">
        <v>21118</v>
      </c>
      <c r="R194" s="107">
        <v>22352</v>
      </c>
      <c r="S194" s="107">
        <v>21376</v>
      </c>
      <c r="T194" s="107">
        <v>30333</v>
      </c>
      <c r="V194" s="72" t="s">
        <v>69</v>
      </c>
      <c r="W194" s="107">
        <v>23627</v>
      </c>
      <c r="X194" s="107">
        <v>25150</v>
      </c>
      <c r="Y194" s="107">
        <v>25515</v>
      </c>
      <c r="Z194" s="107">
        <v>34250</v>
      </c>
      <c r="AA194" s="107">
        <v>28502</v>
      </c>
      <c r="AB194" s="107">
        <v>28252</v>
      </c>
    </row>
    <row r="195" spans="2:28" ht="15.6">
      <c r="B195" s="74" t="s">
        <v>147</v>
      </c>
      <c r="C195" s="108">
        <f>+C190+C191+C192+C193-C194</f>
        <v>165232</v>
      </c>
      <c r="D195" s="108">
        <f t="shared" ref="D195:P195" si="45">+D190+D191+D192+D193-D194</f>
        <v>163340</v>
      </c>
      <c r="E195" s="108">
        <f t="shared" si="45"/>
        <v>42496</v>
      </c>
      <c r="F195" s="108">
        <f t="shared" si="45"/>
        <v>42274</v>
      </c>
      <c r="G195" s="108">
        <f t="shared" si="45"/>
        <v>43061</v>
      </c>
      <c r="H195" s="108">
        <f t="shared" si="45"/>
        <v>42038</v>
      </c>
      <c r="I195" s="108">
        <f t="shared" si="45"/>
        <v>44592</v>
      </c>
      <c r="J195" s="108">
        <f t="shared" si="45"/>
        <v>45629</v>
      </c>
      <c r="K195" s="108">
        <f t="shared" si="45"/>
        <v>46981</v>
      </c>
      <c r="L195" s="108">
        <f t="shared" si="45"/>
        <v>43647</v>
      </c>
      <c r="M195" s="108">
        <f t="shared" si="45"/>
        <v>45084</v>
      </c>
      <c r="N195" s="108">
        <f t="shared" si="45"/>
        <v>46832</v>
      </c>
      <c r="O195" s="108">
        <f t="shared" si="45"/>
        <v>46646</v>
      </c>
      <c r="P195" s="318">
        <f t="shared" si="45"/>
        <v>41723</v>
      </c>
      <c r="Q195" s="108">
        <v>49040</v>
      </c>
      <c r="R195" s="108">
        <v>51117</v>
      </c>
      <c r="S195" s="108">
        <v>53795</v>
      </c>
      <c r="T195" s="108">
        <f t="shared" ref="T195" si="46">+T190+T191+T192+T193-T194</f>
        <v>49267</v>
      </c>
      <c r="V195" s="72" t="s">
        <v>71</v>
      </c>
      <c r="W195" s="107">
        <v>9325</v>
      </c>
      <c r="X195" s="107">
        <v>8485</v>
      </c>
      <c r="Y195" s="107">
        <v>19507</v>
      </c>
      <c r="Z195" s="107">
        <v>3797</v>
      </c>
      <c r="AA195" s="107">
        <v>13022</v>
      </c>
      <c r="AB195" s="107">
        <v>9256</v>
      </c>
    </row>
    <row r="196" spans="2:28" ht="15.6">
      <c r="B196" s="71"/>
      <c r="C196" s="8"/>
      <c r="D196" s="8"/>
      <c r="E196" s="8"/>
      <c r="F196" s="8"/>
      <c r="G196" s="8"/>
      <c r="H196" s="8"/>
      <c r="I196" s="8"/>
      <c r="J196" s="8"/>
      <c r="K196" s="8"/>
      <c r="L196" s="8"/>
      <c r="M196" s="8"/>
      <c r="N196" s="8"/>
      <c r="O196" s="8"/>
      <c r="P196" s="319"/>
      <c r="Q196" s="8"/>
      <c r="R196" s="8"/>
      <c r="S196" s="8"/>
      <c r="T196" s="8"/>
      <c r="V196" s="74" t="s">
        <v>148</v>
      </c>
      <c r="W196" s="108">
        <v>50789</v>
      </c>
      <c r="X196" s="108">
        <f>+X190+X191+X192+X193-X194-X195</f>
        <v>57887</v>
      </c>
      <c r="Y196" s="108">
        <v>46259</v>
      </c>
      <c r="Z196" s="108">
        <v>48799</v>
      </c>
      <c r="AA196" s="108">
        <f>+AA190+AA191+AA192+AA193-AA194-AA195</f>
        <v>46583</v>
      </c>
      <c r="AB196" s="108">
        <f>+AB190+AB191+AB192+AB193-AB194-AB195</f>
        <v>49020</v>
      </c>
    </row>
    <row r="197" spans="2:28" ht="15.6">
      <c r="B197" s="72" t="s">
        <v>71</v>
      </c>
      <c r="C197" s="107">
        <v>60663</v>
      </c>
      <c r="D197" s="107">
        <v>43503</v>
      </c>
      <c r="E197" s="107">
        <v>10214</v>
      </c>
      <c r="F197" s="107">
        <v>10258</v>
      </c>
      <c r="G197" s="107">
        <v>10298</v>
      </c>
      <c r="H197" s="107">
        <v>11049</v>
      </c>
      <c r="I197" s="107">
        <v>10283</v>
      </c>
      <c r="J197" s="107">
        <v>10361</v>
      </c>
      <c r="K197" s="107">
        <v>10605</v>
      </c>
      <c r="L197" s="107">
        <v>10757</v>
      </c>
      <c r="M197" s="107">
        <v>9941</v>
      </c>
      <c r="N197" s="107">
        <v>9884</v>
      </c>
      <c r="O197" s="107">
        <v>8528</v>
      </c>
      <c r="P197" s="317">
        <v>18333</v>
      </c>
      <c r="Q197" s="107">
        <v>9479</v>
      </c>
      <c r="R197" s="107">
        <v>9503</v>
      </c>
      <c r="S197" s="107">
        <v>9536</v>
      </c>
      <c r="T197" s="107">
        <v>5798</v>
      </c>
      <c r="W197" s="107"/>
      <c r="X197" s="107"/>
      <c r="Y197" s="107">
        <v>0</v>
      </c>
      <c r="Z197" s="107"/>
      <c r="AA197" s="107"/>
      <c r="AB197" s="107"/>
    </row>
    <row r="198" spans="2:28" ht="15.6">
      <c r="B198" s="72" t="s">
        <v>74</v>
      </c>
      <c r="C198" s="107">
        <v>51858</v>
      </c>
      <c r="D198" s="107">
        <v>50752</v>
      </c>
      <c r="E198" s="107">
        <v>14600</v>
      </c>
      <c r="F198" s="107">
        <v>15412</v>
      </c>
      <c r="G198" s="107">
        <v>16495</v>
      </c>
      <c r="H198" s="107">
        <v>23021</v>
      </c>
      <c r="I198" s="107">
        <v>19715</v>
      </c>
      <c r="J198" s="107">
        <v>20515</v>
      </c>
      <c r="K198" s="107">
        <v>21108</v>
      </c>
      <c r="L198" s="107">
        <v>39996</v>
      </c>
      <c r="M198" s="107">
        <v>21539</v>
      </c>
      <c r="N198" s="107">
        <v>24125</v>
      </c>
      <c r="O198" s="107">
        <v>21737</v>
      </c>
      <c r="P198" s="317">
        <v>20279</v>
      </c>
      <c r="Q198" s="107">
        <v>22231</v>
      </c>
      <c r="R198" s="107">
        <v>22250</v>
      </c>
      <c r="S198" s="107">
        <v>24412</v>
      </c>
      <c r="T198" s="107">
        <v>24154</v>
      </c>
      <c r="V198" s="506" t="s">
        <v>74</v>
      </c>
      <c r="W198" s="107">
        <v>17689</v>
      </c>
      <c r="X198" s="107">
        <v>26748</v>
      </c>
      <c r="Y198" s="107">
        <v>29654</v>
      </c>
      <c r="Z198" s="107">
        <v>32352</v>
      </c>
      <c r="AA198" s="107">
        <f>29858+1</f>
        <v>29859</v>
      </c>
      <c r="AB198" s="107">
        <f>30922</f>
        <v>30922</v>
      </c>
    </row>
    <row r="199" spans="2:28" ht="15.6">
      <c r="B199" s="72" t="s">
        <v>75</v>
      </c>
      <c r="C199" s="107">
        <v>1526</v>
      </c>
      <c r="D199" s="107">
        <v>5283</v>
      </c>
      <c r="E199" s="107">
        <v>1214</v>
      </c>
      <c r="F199" s="107">
        <v>1912</v>
      </c>
      <c r="G199" s="107">
        <v>-2580</v>
      </c>
      <c r="H199" s="107">
        <v>-2984</v>
      </c>
      <c r="I199" s="107">
        <v>-41</v>
      </c>
      <c r="J199" s="107">
        <v>-782</v>
      </c>
      <c r="K199" s="107">
        <v>-1807</v>
      </c>
      <c r="L199" s="107">
        <v>-6778</v>
      </c>
      <c r="M199" s="107">
        <v>563</v>
      </c>
      <c r="N199" s="107">
        <v>169</v>
      </c>
      <c r="O199" s="107">
        <v>-3330</v>
      </c>
      <c r="P199" s="317">
        <v>-4923</v>
      </c>
      <c r="Q199" s="107">
        <v>438</v>
      </c>
      <c r="R199" s="107">
        <v>-296</v>
      </c>
      <c r="S199" s="107">
        <v>-2400</v>
      </c>
      <c r="T199" s="107">
        <v>-3070</v>
      </c>
      <c r="V199" s="72" t="s">
        <v>75</v>
      </c>
      <c r="W199" s="107">
        <v>828</v>
      </c>
      <c r="X199" s="107">
        <v>11752</v>
      </c>
      <c r="Y199" s="107">
        <v>-2010</v>
      </c>
      <c r="Z199" s="107">
        <v>-10285</v>
      </c>
      <c r="AA199" s="107">
        <v>1022</v>
      </c>
      <c r="AB199" s="107">
        <f>-1598+1</f>
        <v>-1597</v>
      </c>
    </row>
    <row r="200" spans="2:28" ht="15.6">
      <c r="B200" s="74" t="s">
        <v>76</v>
      </c>
      <c r="C200" s="109">
        <f>+C195-C197+C198+C199</f>
        <v>157953</v>
      </c>
      <c r="D200" s="109">
        <f>+D195-D197+D198+D199</f>
        <v>175872</v>
      </c>
      <c r="E200" s="109">
        <f t="shared" ref="E200:O200" si="47">+E195-E197+E198+E199</f>
        <v>48096</v>
      </c>
      <c r="F200" s="109">
        <f t="shared" si="47"/>
        <v>49340</v>
      </c>
      <c r="G200" s="109">
        <f t="shared" si="47"/>
        <v>46678</v>
      </c>
      <c r="H200" s="109">
        <f t="shared" si="47"/>
        <v>51026</v>
      </c>
      <c r="I200" s="109">
        <f t="shared" si="47"/>
        <v>53983</v>
      </c>
      <c r="J200" s="109">
        <f t="shared" si="47"/>
        <v>55001</v>
      </c>
      <c r="K200" s="109">
        <f t="shared" si="47"/>
        <v>55677</v>
      </c>
      <c r="L200" s="109">
        <f t="shared" si="47"/>
        <v>66108</v>
      </c>
      <c r="M200" s="109">
        <f t="shared" si="47"/>
        <v>57245</v>
      </c>
      <c r="N200" s="109">
        <f t="shared" si="47"/>
        <v>61242</v>
      </c>
      <c r="O200" s="109">
        <f t="shared" si="47"/>
        <v>56525</v>
      </c>
      <c r="P200" s="320">
        <f>+P195-P197+P198+P199</f>
        <v>38746</v>
      </c>
      <c r="Q200" s="109">
        <v>62230</v>
      </c>
      <c r="R200" s="109">
        <v>63568</v>
      </c>
      <c r="S200" s="109">
        <v>66271</v>
      </c>
      <c r="T200" s="109">
        <f>+T195-T197+T198+T199</f>
        <v>64553</v>
      </c>
      <c r="V200" s="74" t="s">
        <v>76</v>
      </c>
      <c r="W200" s="109">
        <v>69306</v>
      </c>
      <c r="X200" s="109">
        <f>+X196+X198+X199</f>
        <v>96387</v>
      </c>
      <c r="Y200" s="109">
        <v>73903</v>
      </c>
      <c r="Z200" s="109">
        <v>70866</v>
      </c>
      <c r="AA200" s="109">
        <f>+AA196+AA198+AA199</f>
        <v>77464</v>
      </c>
      <c r="AB200" s="109">
        <f>+AB196+AB198+AB199</f>
        <v>78345</v>
      </c>
    </row>
    <row r="201" spans="2:28" ht="15.6">
      <c r="B201" s="72"/>
      <c r="C201" s="107"/>
      <c r="D201" s="107"/>
      <c r="E201" s="107"/>
      <c r="F201" s="107"/>
      <c r="G201" s="107"/>
      <c r="H201" s="107"/>
      <c r="I201" s="107"/>
      <c r="J201" s="107"/>
      <c r="K201" s="107"/>
      <c r="L201" s="107"/>
      <c r="M201" s="107"/>
      <c r="N201" s="107"/>
      <c r="O201" s="107"/>
      <c r="P201" s="317"/>
      <c r="Q201" s="107"/>
      <c r="R201" s="107"/>
      <c r="S201" s="107">
        <v>0</v>
      </c>
      <c r="T201" s="107"/>
      <c r="W201" s="107"/>
      <c r="X201" s="107"/>
      <c r="Y201" s="107">
        <v>0</v>
      </c>
      <c r="Z201" s="107"/>
      <c r="AA201" s="107"/>
      <c r="AB201" s="107"/>
    </row>
    <row r="202" spans="2:28" ht="15.6">
      <c r="B202" s="72" t="s">
        <v>77</v>
      </c>
      <c r="C202" s="107">
        <v>-43180</v>
      </c>
      <c r="D202" s="107">
        <v>-29658</v>
      </c>
      <c r="E202" s="107">
        <v>-7224</v>
      </c>
      <c r="F202" s="107">
        <v>-6370</v>
      </c>
      <c r="G202" s="107">
        <v>-6374</v>
      </c>
      <c r="H202" s="107">
        <v>-5931</v>
      </c>
      <c r="I202" s="107">
        <v>-4724</v>
      </c>
      <c r="J202" s="107">
        <v>-5948</v>
      </c>
      <c r="K202" s="107">
        <v>-7235</v>
      </c>
      <c r="L202" s="107">
        <v>-6974</v>
      </c>
      <c r="M202" s="107">
        <v>-6659</v>
      </c>
      <c r="N202" s="107">
        <v>-9103</v>
      </c>
      <c r="O202" s="107">
        <v>-6593</v>
      </c>
      <c r="P202" s="317">
        <v>-5477</v>
      </c>
      <c r="Q202" s="107">
        <v>-4138</v>
      </c>
      <c r="R202" s="107">
        <v>-7181</v>
      </c>
      <c r="S202" s="107">
        <v>-7986</v>
      </c>
      <c r="T202" s="107">
        <v>-8830</v>
      </c>
      <c r="V202" s="72" t="s">
        <v>77</v>
      </c>
      <c r="W202" s="107">
        <v>-9013</v>
      </c>
      <c r="X202" s="107">
        <v>-5945</v>
      </c>
      <c r="Y202" s="107">
        <v>-5850</v>
      </c>
      <c r="Z202" s="107">
        <v>-4999</v>
      </c>
      <c r="AA202" s="107">
        <v>-10283</v>
      </c>
      <c r="AB202" s="107">
        <v>-10939</v>
      </c>
    </row>
    <row r="203" spans="2:28" ht="15.6">
      <c r="B203" s="74" t="s">
        <v>78</v>
      </c>
      <c r="C203" s="109">
        <f>+C200+C202</f>
        <v>114773</v>
      </c>
      <c r="D203" s="109">
        <f t="shared" ref="D203:O203" si="48">+D200+D202</f>
        <v>146214</v>
      </c>
      <c r="E203" s="109">
        <f t="shared" si="48"/>
        <v>40872</v>
      </c>
      <c r="F203" s="109">
        <f t="shared" si="48"/>
        <v>42970</v>
      </c>
      <c r="G203" s="109">
        <f t="shared" si="48"/>
        <v>40304</v>
      </c>
      <c r="H203" s="109">
        <f t="shared" si="48"/>
        <v>45095</v>
      </c>
      <c r="I203" s="109">
        <f t="shared" si="48"/>
        <v>49259</v>
      </c>
      <c r="J203" s="109">
        <f t="shared" si="48"/>
        <v>49053</v>
      </c>
      <c r="K203" s="109">
        <f t="shared" si="48"/>
        <v>48442</v>
      </c>
      <c r="L203" s="109">
        <f t="shared" si="48"/>
        <v>59134</v>
      </c>
      <c r="M203" s="109">
        <f t="shared" si="48"/>
        <v>50586</v>
      </c>
      <c r="N203" s="109">
        <f t="shared" si="48"/>
        <v>52139</v>
      </c>
      <c r="O203" s="109">
        <f t="shared" si="48"/>
        <v>49932</v>
      </c>
      <c r="P203" s="320">
        <f>+P200+P202</f>
        <v>33269</v>
      </c>
      <c r="Q203" s="109">
        <v>58092</v>
      </c>
      <c r="R203" s="109">
        <v>56387</v>
      </c>
      <c r="S203" s="109">
        <v>58285</v>
      </c>
      <c r="T203" s="109">
        <f>+T200+T202</f>
        <v>55723</v>
      </c>
      <c r="V203" s="74" t="s">
        <v>78</v>
      </c>
      <c r="W203" s="109">
        <v>60293</v>
      </c>
      <c r="X203" s="109">
        <f>+X200+X202</f>
        <v>90442</v>
      </c>
      <c r="Y203" s="109">
        <v>68053</v>
      </c>
      <c r="Z203" s="109">
        <v>65867</v>
      </c>
      <c r="AA203" s="109">
        <f>+AA200+AA202</f>
        <v>67181</v>
      </c>
      <c r="AB203" s="109">
        <f>+AB200+AB202</f>
        <v>67406</v>
      </c>
    </row>
    <row r="204" spans="2:28" ht="15.6">
      <c r="B204" s="71"/>
      <c r="C204" s="8"/>
      <c r="D204" s="8"/>
      <c r="E204" s="8"/>
      <c r="F204" s="8"/>
      <c r="G204" s="8"/>
      <c r="H204" s="8"/>
      <c r="I204" s="8"/>
      <c r="J204" s="8"/>
      <c r="K204" s="8"/>
      <c r="L204" s="8"/>
      <c r="M204" s="8"/>
      <c r="N204" s="8"/>
      <c r="O204" s="8"/>
      <c r="P204" s="319"/>
      <c r="Q204" s="8"/>
      <c r="R204" s="8"/>
      <c r="S204" s="8"/>
      <c r="T204" s="8"/>
      <c r="V204" s="71"/>
      <c r="W204" s="8"/>
      <c r="X204" s="8"/>
      <c r="Y204" s="8"/>
      <c r="Z204" s="8"/>
      <c r="AA204" s="8"/>
      <c r="AB204" s="8"/>
    </row>
    <row r="205" spans="2:28" ht="15.6">
      <c r="B205" s="72" t="s">
        <v>79</v>
      </c>
      <c r="C205" s="107">
        <v>26011</v>
      </c>
      <c r="D205" s="107">
        <v>38236</v>
      </c>
      <c r="E205" s="107">
        <v>9756</v>
      </c>
      <c r="F205" s="107">
        <v>10072</v>
      </c>
      <c r="G205" s="107">
        <v>8319</v>
      </c>
      <c r="H205" s="107">
        <v>5310</v>
      </c>
      <c r="I205" s="107">
        <v>9609</v>
      </c>
      <c r="J205" s="107">
        <v>10092</v>
      </c>
      <c r="K205" s="107">
        <v>8936</v>
      </c>
      <c r="L205" s="107">
        <v>6632</v>
      </c>
      <c r="M205" s="107">
        <v>10350</v>
      </c>
      <c r="N205" s="107">
        <v>11503</v>
      </c>
      <c r="O205" s="107">
        <v>11416</v>
      </c>
      <c r="P205" s="317">
        <v>5842</v>
      </c>
      <c r="Q205" s="107">
        <v>11489</v>
      </c>
      <c r="R205" s="107">
        <v>11191</v>
      </c>
      <c r="S205" s="107">
        <v>11138</v>
      </c>
      <c r="T205" s="107">
        <v>10645</v>
      </c>
      <c r="V205" s="72" t="s">
        <v>79</v>
      </c>
      <c r="W205" s="107">
        <v>-14488</v>
      </c>
      <c r="X205" s="107">
        <v>-20579</v>
      </c>
      <c r="Y205" s="107">
        <v>-16798</v>
      </c>
      <c r="Z205" s="107">
        <v>-9845</v>
      </c>
      <c r="AA205" s="107">
        <v>-13037</v>
      </c>
      <c r="AB205" s="107">
        <v>-14439</v>
      </c>
    </row>
    <row r="206" spans="2:28" ht="15.6">
      <c r="B206" s="74" t="s">
        <v>82</v>
      </c>
      <c r="C206" s="109">
        <f>+C203-C205</f>
        <v>88762</v>
      </c>
      <c r="D206" s="109">
        <f t="shared" ref="D206:O206" si="49">+D203-D205</f>
        <v>107978</v>
      </c>
      <c r="E206" s="109">
        <f t="shared" si="49"/>
        <v>31116</v>
      </c>
      <c r="F206" s="109">
        <f t="shared" si="49"/>
        <v>32898</v>
      </c>
      <c r="G206" s="109">
        <f t="shared" si="49"/>
        <v>31985</v>
      </c>
      <c r="H206" s="109">
        <f t="shared" si="49"/>
        <v>39785</v>
      </c>
      <c r="I206" s="109">
        <f t="shared" si="49"/>
        <v>39650</v>
      </c>
      <c r="J206" s="109">
        <f t="shared" si="49"/>
        <v>38961</v>
      </c>
      <c r="K206" s="109">
        <f t="shared" si="49"/>
        <v>39506</v>
      </c>
      <c r="L206" s="109">
        <f t="shared" si="49"/>
        <v>52502</v>
      </c>
      <c r="M206" s="109">
        <f>+M203-M205</f>
        <v>40236</v>
      </c>
      <c r="N206" s="109">
        <f t="shared" si="49"/>
        <v>40636</v>
      </c>
      <c r="O206" s="109">
        <f t="shared" si="49"/>
        <v>38516</v>
      </c>
      <c r="P206" s="320">
        <f>+P203-P205</f>
        <v>27427</v>
      </c>
      <c r="Q206" s="109">
        <v>46603</v>
      </c>
      <c r="R206" s="109">
        <v>45196</v>
      </c>
      <c r="S206" s="109">
        <v>47147</v>
      </c>
      <c r="T206" s="109">
        <f>+T203-T205</f>
        <v>45078</v>
      </c>
      <c r="V206" s="74" t="s">
        <v>82</v>
      </c>
      <c r="W206" s="109">
        <v>45805</v>
      </c>
      <c r="X206" s="109">
        <f>+X203+X205</f>
        <v>69863</v>
      </c>
      <c r="Y206" s="109">
        <v>51255</v>
      </c>
      <c r="Z206" s="109">
        <v>56022</v>
      </c>
      <c r="AA206" s="109">
        <f>+AA203+AA205</f>
        <v>54144</v>
      </c>
      <c r="AB206" s="109">
        <f>+AB203+AB205</f>
        <v>52967</v>
      </c>
    </row>
    <row r="207" spans="2:28" ht="15.6">
      <c r="B207" s="67"/>
      <c r="C207" s="67"/>
      <c r="D207" s="67"/>
      <c r="E207" s="67"/>
      <c r="F207" s="67"/>
      <c r="G207" s="67"/>
      <c r="H207" s="67"/>
      <c r="I207" s="67"/>
      <c r="J207" s="67"/>
      <c r="K207" s="67"/>
      <c r="L207" s="67"/>
      <c r="M207" s="67"/>
      <c r="N207" s="67"/>
      <c r="O207" s="67"/>
    </row>
    <row r="208" spans="2:28" ht="15.6">
      <c r="B208" s="67"/>
      <c r="C208" s="67"/>
      <c r="D208" s="67"/>
      <c r="E208" s="67"/>
      <c r="F208" s="67"/>
      <c r="G208" s="67"/>
      <c r="H208" s="67"/>
      <c r="I208" s="67"/>
      <c r="J208" s="67"/>
      <c r="K208" s="67"/>
      <c r="L208" s="67"/>
      <c r="M208" s="67"/>
      <c r="N208" s="67"/>
      <c r="O208" s="67"/>
      <c r="V208" s="529" t="s">
        <v>72</v>
      </c>
      <c r="W208" s="109">
        <v>81127</v>
      </c>
      <c r="X208" s="109">
        <v>107310</v>
      </c>
      <c r="Y208" s="109">
        <v>86950</v>
      </c>
      <c r="Z208" s="109">
        <v>85847</v>
      </c>
      <c r="AA208" s="109">
        <v>90404</v>
      </c>
      <c r="AB208" s="109">
        <v>90553</v>
      </c>
    </row>
    <row r="209" spans="1:28" ht="15.6">
      <c r="A209" s="48" t="s">
        <v>137</v>
      </c>
      <c r="B209" s="11" t="s">
        <v>172</v>
      </c>
      <c r="C209" s="67"/>
      <c r="D209" s="67"/>
      <c r="E209" s="67"/>
      <c r="F209" s="67"/>
      <c r="G209" s="67"/>
      <c r="H209" s="67"/>
      <c r="I209" s="67"/>
      <c r="J209" s="67"/>
      <c r="K209" s="67"/>
      <c r="L209" s="67"/>
      <c r="M209" s="67"/>
      <c r="N209" s="67"/>
      <c r="O209" s="67"/>
    </row>
    <row r="210" spans="1:28" ht="15.6">
      <c r="B210" s="13" t="s">
        <v>86</v>
      </c>
      <c r="C210" s="67"/>
      <c r="D210" s="67"/>
      <c r="E210" s="67"/>
      <c r="F210" s="67"/>
      <c r="G210" s="67"/>
      <c r="H210" s="67"/>
      <c r="I210" s="67"/>
      <c r="J210" s="67"/>
      <c r="K210" s="67"/>
      <c r="L210" s="67"/>
      <c r="M210" s="67"/>
      <c r="N210" s="67"/>
      <c r="O210" s="67"/>
    </row>
    <row r="211" spans="1:28" ht="15.6">
      <c r="B211" s="67"/>
      <c r="C211" s="67"/>
      <c r="D211" s="67"/>
      <c r="E211" s="67"/>
      <c r="F211" s="67"/>
      <c r="G211" s="67"/>
      <c r="H211" s="67"/>
      <c r="I211" s="67"/>
      <c r="J211" s="67"/>
      <c r="K211" s="67"/>
      <c r="L211" s="67"/>
      <c r="M211" s="67"/>
      <c r="N211" s="67"/>
      <c r="O211" s="67"/>
    </row>
    <row r="212" spans="1:28" ht="16.2" thickBot="1">
      <c r="B212" s="112"/>
      <c r="C212" s="70">
        <v>2016</v>
      </c>
      <c r="D212" s="70">
        <v>2017</v>
      </c>
      <c r="E212" s="70" t="s">
        <v>40</v>
      </c>
      <c r="F212" s="70" t="s">
        <v>41</v>
      </c>
      <c r="G212" s="70" t="s">
        <v>42</v>
      </c>
      <c r="H212" s="70" t="s">
        <v>43</v>
      </c>
      <c r="I212" s="70" t="s">
        <v>44</v>
      </c>
      <c r="J212" s="441" t="s">
        <v>45</v>
      </c>
      <c r="K212" s="441" t="s">
        <v>46</v>
      </c>
      <c r="L212" s="441" t="s">
        <v>47</v>
      </c>
      <c r="M212" s="441" t="s">
        <v>48</v>
      </c>
      <c r="N212" s="441" t="s">
        <v>49</v>
      </c>
      <c r="O212" s="441" t="s">
        <v>50</v>
      </c>
      <c r="P212" s="441" t="s">
        <v>51</v>
      </c>
      <c r="Q212" s="441" t="s">
        <v>52</v>
      </c>
      <c r="R212" s="441" t="s">
        <v>53</v>
      </c>
      <c r="S212" s="441" t="s">
        <v>54</v>
      </c>
      <c r="T212" s="441" t="s">
        <v>55</v>
      </c>
      <c r="V212" s="112"/>
      <c r="W212" s="441" t="s">
        <v>87</v>
      </c>
      <c r="X212" s="441" t="s">
        <v>56</v>
      </c>
      <c r="Y212" s="441" t="s">
        <v>57</v>
      </c>
      <c r="Z212" s="441" t="s">
        <v>1154</v>
      </c>
      <c r="AA212" s="441" t="str">
        <f>+AA7</f>
        <v>1T23</v>
      </c>
      <c r="AB212" s="441" t="s">
        <v>1207</v>
      </c>
    </row>
    <row r="213" spans="1:28" ht="15.6" thickBot="1">
      <c r="B213" s="113" t="s">
        <v>88</v>
      </c>
      <c r="C213" s="114"/>
      <c r="D213" s="114"/>
      <c r="E213" s="114"/>
      <c r="F213" s="114"/>
      <c r="G213" s="114"/>
      <c r="H213" s="114"/>
      <c r="I213" s="114"/>
      <c r="J213" s="114"/>
      <c r="K213" s="114"/>
      <c r="L213" s="114"/>
      <c r="M213" s="113"/>
      <c r="N213" s="113"/>
      <c r="O213" s="113"/>
      <c r="P213" s="113"/>
      <c r="Q213" s="113"/>
      <c r="R213" s="113"/>
      <c r="S213" s="113"/>
      <c r="T213" s="113"/>
      <c r="V213" s="113" t="s">
        <v>88</v>
      </c>
      <c r="W213" s="113"/>
      <c r="X213" s="113"/>
      <c r="Y213" s="113"/>
      <c r="Z213" s="113"/>
      <c r="AA213" s="113"/>
      <c r="AB213" s="113"/>
    </row>
    <row r="214" spans="1:28" ht="15.6" thickBot="1">
      <c r="B214" s="115" t="s">
        <v>89</v>
      </c>
      <c r="C214" s="116"/>
      <c r="D214" s="116"/>
      <c r="E214" s="116"/>
      <c r="F214" s="116"/>
      <c r="G214" s="116"/>
      <c r="H214" s="116"/>
      <c r="I214" s="116"/>
      <c r="J214" s="116"/>
      <c r="K214" s="116"/>
      <c r="L214" s="116"/>
      <c r="M214" s="116"/>
      <c r="N214" s="116"/>
      <c r="O214" s="116"/>
      <c r="P214" s="116"/>
      <c r="Q214" s="116"/>
      <c r="R214" s="116"/>
      <c r="S214" s="116"/>
      <c r="T214" s="116"/>
      <c r="V214" s="115" t="s">
        <v>89</v>
      </c>
      <c r="W214" s="116"/>
      <c r="X214" s="116"/>
      <c r="Y214" s="116"/>
      <c r="Z214" s="116"/>
      <c r="AA214" s="116"/>
      <c r="AB214" s="116"/>
    </row>
    <row r="215" spans="1:28" ht="16.2" thickBot="1">
      <c r="B215" s="117" t="s">
        <v>90</v>
      </c>
      <c r="C215" s="106">
        <v>42610</v>
      </c>
      <c r="D215" s="106">
        <v>37156</v>
      </c>
      <c r="E215" s="106">
        <v>25585</v>
      </c>
      <c r="F215" s="106">
        <v>22251</v>
      </c>
      <c r="G215" s="106">
        <v>31573</v>
      </c>
      <c r="H215" s="106">
        <v>47764</v>
      </c>
      <c r="I215" s="106">
        <v>24298</v>
      </c>
      <c r="J215" s="106">
        <v>10663</v>
      </c>
      <c r="K215" s="106">
        <v>25334</v>
      </c>
      <c r="L215" s="106">
        <v>31863</v>
      </c>
      <c r="M215" s="106">
        <v>37743</v>
      </c>
      <c r="N215" s="106">
        <v>59893</v>
      </c>
      <c r="O215" s="106">
        <v>63820</v>
      </c>
      <c r="P215" s="106">
        <v>70596</v>
      </c>
      <c r="Q215" s="87">
        <v>53444</v>
      </c>
      <c r="R215" s="87">
        <v>119605</v>
      </c>
      <c r="S215" s="87">
        <v>134798</v>
      </c>
      <c r="T215" s="87">
        <v>97288</v>
      </c>
      <c r="V215" s="117" t="s">
        <v>90</v>
      </c>
      <c r="W215" s="87">
        <v>51602</v>
      </c>
      <c r="X215" s="87">
        <v>84792</v>
      </c>
      <c r="Y215" s="87">
        <v>209084</v>
      </c>
      <c r="Z215" s="87">
        <v>200087</v>
      </c>
      <c r="AA215" s="87">
        <v>167894</v>
      </c>
      <c r="AB215" s="87">
        <f>132684+1</f>
        <v>132685</v>
      </c>
    </row>
    <row r="216" spans="1:28" ht="16.2" thickBot="1">
      <c r="B216" s="117" t="s">
        <v>91</v>
      </c>
      <c r="C216" s="106">
        <v>29125</v>
      </c>
      <c r="D216" s="106">
        <v>31485</v>
      </c>
      <c r="E216" s="106">
        <v>70841</v>
      </c>
      <c r="F216" s="106">
        <v>30922</v>
      </c>
      <c r="G216" s="106">
        <v>32474</v>
      </c>
      <c r="H216" s="106">
        <v>29773</v>
      </c>
      <c r="I216" s="106">
        <v>108812</v>
      </c>
      <c r="J216" s="106">
        <v>31981</v>
      </c>
      <c r="K216" s="106">
        <v>32713</v>
      </c>
      <c r="L216" s="106">
        <f>34215+32941</f>
        <v>67156</v>
      </c>
      <c r="M216" s="106">
        <v>36460</v>
      </c>
      <c r="N216" s="106">
        <v>34033</v>
      </c>
      <c r="O216" s="106">
        <v>33819</v>
      </c>
      <c r="P216" s="106">
        <v>36713</v>
      </c>
      <c r="Q216" s="87">
        <v>88174</v>
      </c>
      <c r="R216" s="87">
        <v>37783</v>
      </c>
      <c r="S216" s="87">
        <v>36873</v>
      </c>
      <c r="T216" s="87">
        <v>38110</v>
      </c>
      <c r="V216" s="117" t="s">
        <v>91</v>
      </c>
      <c r="W216" s="87">
        <v>92248</v>
      </c>
      <c r="X216" s="87">
        <v>55583</v>
      </c>
      <c r="Y216" s="87">
        <v>66097</v>
      </c>
      <c r="Z216" s="87">
        <v>51616</v>
      </c>
      <c r="AA216" s="87">
        <f>173977</f>
        <v>173977</v>
      </c>
      <c r="AB216" s="87">
        <v>96784</v>
      </c>
    </row>
    <row r="217" spans="1:28" ht="16.2" thickBot="1">
      <c r="B217" s="117" t="s">
        <v>92</v>
      </c>
      <c r="C217" s="106">
        <v>3681</v>
      </c>
      <c r="D217" s="106">
        <v>4512</v>
      </c>
      <c r="E217" s="106">
        <v>10043</v>
      </c>
      <c r="F217" s="106">
        <v>20683</v>
      </c>
      <c r="G217" s="106">
        <v>24653</v>
      </c>
      <c r="H217" s="106">
        <v>5384</v>
      </c>
      <c r="I217" s="106">
        <v>12396</v>
      </c>
      <c r="J217" s="106">
        <v>23934</v>
      </c>
      <c r="K217" s="106">
        <v>28732</v>
      </c>
      <c r="L217" s="106">
        <v>7665</v>
      </c>
      <c r="M217" s="106">
        <v>15716</v>
      </c>
      <c r="N217" s="106">
        <v>25840</v>
      </c>
      <c r="O217" s="106">
        <v>30090</v>
      </c>
      <c r="P217" s="106">
        <v>8649</v>
      </c>
      <c r="Q217" s="87">
        <v>15185</v>
      </c>
      <c r="R217" s="87">
        <v>25709</v>
      </c>
      <c r="S217" s="87">
        <v>30120</v>
      </c>
      <c r="T217" s="87">
        <v>8272</v>
      </c>
      <c r="V217" s="117" t="s">
        <v>92</v>
      </c>
      <c r="W217" s="87">
        <v>8978</v>
      </c>
      <c r="X217" s="87">
        <v>9030</v>
      </c>
      <c r="Y217" s="87">
        <v>10658</v>
      </c>
      <c r="Z217" s="87">
        <v>17793</v>
      </c>
      <c r="AA217" s="87">
        <v>22411</v>
      </c>
      <c r="AB217" s="87">
        <v>37820</v>
      </c>
    </row>
    <row r="218" spans="1:28" ht="16.2" thickBot="1">
      <c r="B218" s="117" t="s">
        <v>173</v>
      </c>
      <c r="C218" s="106"/>
      <c r="D218" s="106"/>
      <c r="E218" s="106"/>
      <c r="F218" s="106"/>
      <c r="G218" s="106"/>
      <c r="H218" s="106"/>
      <c r="I218" s="106"/>
      <c r="J218" s="106"/>
      <c r="K218" s="106"/>
      <c r="L218" s="106"/>
      <c r="M218" s="106"/>
      <c r="N218" s="106"/>
      <c r="O218" s="106"/>
      <c r="P218" s="106"/>
      <c r="Q218" s="87"/>
      <c r="R218" s="87"/>
      <c r="S218" s="87"/>
      <c r="T218" s="87">
        <v>2743</v>
      </c>
      <c r="V218" s="117" t="s">
        <v>173</v>
      </c>
      <c r="W218" s="87">
        <v>2743</v>
      </c>
      <c r="X218" s="87">
        <v>2743</v>
      </c>
      <c r="Y218" s="87">
        <v>2743</v>
      </c>
      <c r="Z218" s="87">
        <v>2598</v>
      </c>
      <c r="AA218" s="87">
        <v>2598</v>
      </c>
      <c r="AB218" s="87">
        <v>2598</v>
      </c>
    </row>
    <row r="219" spans="1:28" ht="16.2" thickBot="1">
      <c r="B219" s="117" t="s">
        <v>94</v>
      </c>
      <c r="C219" s="106">
        <v>3480</v>
      </c>
      <c r="D219" s="106">
        <v>2318</v>
      </c>
      <c r="E219" s="106">
        <v>950</v>
      </c>
      <c r="F219" s="106">
        <v>332</v>
      </c>
      <c r="G219" s="106">
        <v>3435</v>
      </c>
      <c r="H219" s="106">
        <v>2759</v>
      </c>
      <c r="I219" s="106">
        <v>3245</v>
      </c>
      <c r="J219" s="106">
        <v>3389</v>
      </c>
      <c r="K219" s="106">
        <v>2381</v>
      </c>
      <c r="L219" s="106">
        <v>1654</v>
      </c>
      <c r="M219" s="106">
        <v>4461</v>
      </c>
      <c r="N219" s="106">
        <v>3550</v>
      </c>
      <c r="O219" s="106">
        <v>2747</v>
      </c>
      <c r="P219" s="106">
        <v>3933</v>
      </c>
      <c r="Q219" s="87">
        <v>3430</v>
      </c>
      <c r="R219" s="87">
        <v>2204</v>
      </c>
      <c r="S219" s="87">
        <v>8347</v>
      </c>
      <c r="T219" s="87">
        <v>7649</v>
      </c>
      <c r="V219" s="117" t="s">
        <v>94</v>
      </c>
      <c r="W219" s="87">
        <v>7310</v>
      </c>
      <c r="X219" s="87">
        <v>9733</v>
      </c>
      <c r="Y219" s="87">
        <v>5546</v>
      </c>
      <c r="Z219" s="87">
        <v>4685</v>
      </c>
      <c r="AA219" s="87">
        <v>8568</v>
      </c>
      <c r="AB219" s="87">
        <v>6990</v>
      </c>
    </row>
    <row r="220" spans="1:28" ht="16.2" thickBot="1">
      <c r="B220" s="117" t="s">
        <v>95</v>
      </c>
      <c r="C220" s="106">
        <v>777</v>
      </c>
      <c r="D220" s="106">
        <v>805</v>
      </c>
      <c r="E220" s="106">
        <v>-244886</v>
      </c>
      <c r="F220" s="106">
        <v>-244886</v>
      </c>
      <c r="G220" s="106">
        <v>0</v>
      </c>
      <c r="H220" s="106">
        <v>1790</v>
      </c>
      <c r="I220" s="106">
        <v>0</v>
      </c>
      <c r="J220" s="106">
        <v>0</v>
      </c>
      <c r="K220" s="106">
        <v>0</v>
      </c>
      <c r="L220" s="106">
        <v>1088</v>
      </c>
      <c r="M220" s="106">
        <v>0</v>
      </c>
      <c r="N220" s="106">
        <v>0</v>
      </c>
      <c r="O220" s="106">
        <v>0</v>
      </c>
      <c r="P220" s="106"/>
      <c r="Q220" s="87"/>
      <c r="R220" s="87"/>
      <c r="S220" s="87">
        <v>0</v>
      </c>
      <c r="T220" s="87">
        <v>60798</v>
      </c>
      <c r="V220" s="117" t="s">
        <v>95</v>
      </c>
      <c r="W220" s="87">
        <v>85321</v>
      </c>
      <c r="X220" s="87">
        <v>86995</v>
      </c>
      <c r="Y220" s="87">
        <v>87458</v>
      </c>
      <c r="Z220" s="87" t="s">
        <v>1155</v>
      </c>
      <c r="AA220" s="87">
        <v>0</v>
      </c>
      <c r="AB220" s="87">
        <v>0</v>
      </c>
    </row>
    <row r="221" spans="1:28" ht="15.6" thickBot="1">
      <c r="B221" s="118" t="s">
        <v>96</v>
      </c>
      <c r="C221" s="119">
        <f t="shared" ref="C221:N221" si="50">SUM(C215:C220)</f>
        <v>79673</v>
      </c>
      <c r="D221" s="119">
        <f t="shared" si="50"/>
        <v>76276</v>
      </c>
      <c r="E221" s="119">
        <f t="shared" si="50"/>
        <v>-137467</v>
      </c>
      <c r="F221" s="119">
        <f t="shared" si="50"/>
        <v>-170698</v>
      </c>
      <c r="G221" s="119">
        <f t="shared" si="50"/>
        <v>92135</v>
      </c>
      <c r="H221" s="119">
        <f t="shared" si="50"/>
        <v>87470</v>
      </c>
      <c r="I221" s="119">
        <f t="shared" si="50"/>
        <v>148751</v>
      </c>
      <c r="J221" s="119">
        <f t="shared" si="50"/>
        <v>69967</v>
      </c>
      <c r="K221" s="119">
        <f t="shared" si="50"/>
        <v>89160</v>
      </c>
      <c r="L221" s="119">
        <f t="shared" si="50"/>
        <v>109426</v>
      </c>
      <c r="M221" s="119">
        <f t="shared" si="50"/>
        <v>94380</v>
      </c>
      <c r="N221" s="119">
        <f t="shared" si="50"/>
        <v>123316</v>
      </c>
      <c r="O221" s="119">
        <v>130476</v>
      </c>
      <c r="P221" s="119">
        <v>119891</v>
      </c>
      <c r="Q221" s="89">
        <v>160233</v>
      </c>
      <c r="R221" s="89">
        <v>185301</v>
      </c>
      <c r="S221" s="89">
        <v>210138</v>
      </c>
      <c r="T221" s="119">
        <f>SUM(T215:T220)</f>
        <v>214860</v>
      </c>
      <c r="V221" s="118" t="s">
        <v>96</v>
      </c>
      <c r="W221" s="119">
        <f>SUM(W215:W220)</f>
        <v>248202</v>
      </c>
      <c r="X221" s="119">
        <f>SUM(X215:X220)</f>
        <v>248876</v>
      </c>
      <c r="Y221" s="119">
        <v>381586</v>
      </c>
      <c r="Z221" s="119">
        <v>276779</v>
      </c>
      <c r="AA221" s="119">
        <f>SUM(AA215:AA220)</f>
        <v>375448</v>
      </c>
      <c r="AB221" s="119">
        <f>SUM(AB215:AB220)</f>
        <v>276877</v>
      </c>
    </row>
    <row r="222" spans="1:28" ht="15.6" thickBot="1">
      <c r="B222" s="115" t="s">
        <v>97</v>
      </c>
      <c r="C222" s="116"/>
      <c r="D222" s="116"/>
      <c r="E222" s="116"/>
      <c r="F222" s="116"/>
      <c r="G222" s="116"/>
      <c r="H222" s="116"/>
      <c r="I222" s="116"/>
      <c r="J222" s="116"/>
      <c r="K222" s="116"/>
      <c r="L222" s="116"/>
      <c r="M222" s="116"/>
      <c r="N222" s="116"/>
      <c r="O222" s="116"/>
      <c r="P222" s="116"/>
      <c r="Q222" s="85"/>
      <c r="R222" s="85"/>
      <c r="S222" s="85"/>
      <c r="T222" s="519"/>
      <c r="V222" s="115" t="s">
        <v>97</v>
      </c>
      <c r="W222" s="519"/>
      <c r="X222" s="519"/>
      <c r="Y222" s="519"/>
      <c r="Z222" s="519"/>
      <c r="AA222" s="519"/>
      <c r="AB222" s="519"/>
    </row>
    <row r="223" spans="1:28" ht="16.2" thickBot="1">
      <c r="B223" s="117" t="s">
        <v>98</v>
      </c>
      <c r="C223" s="106">
        <v>35</v>
      </c>
      <c r="D223" s="106">
        <v>35</v>
      </c>
      <c r="E223" s="106">
        <v>35</v>
      </c>
      <c r="F223" s="106">
        <v>35</v>
      </c>
      <c r="G223" s="106">
        <v>35</v>
      </c>
      <c r="H223" s="106">
        <v>35</v>
      </c>
      <c r="I223" s="106">
        <v>35</v>
      </c>
      <c r="J223" s="106">
        <v>35</v>
      </c>
      <c r="K223" s="106">
        <v>35</v>
      </c>
      <c r="L223" s="106">
        <v>35</v>
      </c>
      <c r="M223" s="106">
        <v>35</v>
      </c>
      <c r="N223" s="106">
        <v>35</v>
      </c>
      <c r="O223" s="106">
        <v>35</v>
      </c>
      <c r="P223" s="106">
        <v>35</v>
      </c>
      <c r="Q223" s="106">
        <v>35</v>
      </c>
      <c r="R223" s="106">
        <v>35</v>
      </c>
      <c r="S223" s="106">
        <v>35</v>
      </c>
      <c r="T223" s="87">
        <v>35</v>
      </c>
      <c r="V223" s="117" t="s">
        <v>98</v>
      </c>
      <c r="W223" s="87">
        <v>35</v>
      </c>
      <c r="X223" s="87">
        <v>35</v>
      </c>
      <c r="Y223" s="87">
        <v>0</v>
      </c>
      <c r="Z223" s="87" t="s">
        <v>1156</v>
      </c>
      <c r="AA223" s="87">
        <v>0</v>
      </c>
      <c r="AB223" s="87">
        <v>0</v>
      </c>
    </row>
    <row r="224" spans="1:28" ht="16.2" thickBot="1">
      <c r="B224" s="117" t="s">
        <v>99</v>
      </c>
      <c r="C224" s="106">
        <v>0</v>
      </c>
      <c r="D224" s="106">
        <v>0</v>
      </c>
      <c r="E224" s="106">
        <v>149</v>
      </c>
      <c r="F224" s="106">
        <v>229</v>
      </c>
      <c r="G224" s="106">
        <v>0</v>
      </c>
      <c r="H224" s="106">
        <v>0</v>
      </c>
      <c r="I224" s="106">
        <v>0</v>
      </c>
      <c r="J224" s="106">
        <v>0</v>
      </c>
      <c r="K224" s="106">
        <v>0</v>
      </c>
      <c r="L224" s="106">
        <v>0</v>
      </c>
      <c r="M224" s="106">
        <v>0</v>
      </c>
      <c r="N224" s="106">
        <v>0</v>
      </c>
      <c r="O224" s="106">
        <v>0</v>
      </c>
      <c r="P224" s="106"/>
      <c r="Q224" s="106"/>
      <c r="R224" s="106"/>
      <c r="S224" s="106">
        <v>0</v>
      </c>
      <c r="T224" s="106"/>
      <c r="V224" s="117" t="s">
        <v>99</v>
      </c>
      <c r="W224" s="106"/>
      <c r="X224" s="106"/>
      <c r="Y224" s="106">
        <v>0</v>
      </c>
      <c r="Z224" s="106" t="s">
        <v>1155</v>
      </c>
      <c r="AA224" s="106">
        <v>0</v>
      </c>
      <c r="AB224" s="87">
        <v>0</v>
      </c>
    </row>
    <row r="225" spans="2:28" ht="16.2" thickBot="1">
      <c r="B225" s="117" t="s">
        <v>174</v>
      </c>
      <c r="C225" s="106">
        <v>280143</v>
      </c>
      <c r="D225" s="106">
        <v>280139</v>
      </c>
      <c r="E225" s="106">
        <v>226598</v>
      </c>
      <c r="F225" s="106">
        <v>255055</v>
      </c>
      <c r="G225" s="106">
        <v>275379</v>
      </c>
      <c r="H225" s="106">
        <v>309078</v>
      </c>
      <c r="I225" s="106">
        <v>243120</v>
      </c>
      <c r="J225" s="106">
        <v>265428</v>
      </c>
      <c r="K225" s="106">
        <v>309217</v>
      </c>
      <c r="L225" s="106">
        <v>299686</v>
      </c>
      <c r="M225" s="106">
        <v>382551</v>
      </c>
      <c r="N225" s="106">
        <v>278218</v>
      </c>
      <c r="O225" s="106">
        <v>310373</v>
      </c>
      <c r="P225" s="106">
        <v>294143</v>
      </c>
      <c r="Q225" s="106">
        <v>282145</v>
      </c>
      <c r="R225" s="106">
        <v>306974</v>
      </c>
      <c r="S225" s="106">
        <v>308253</v>
      </c>
      <c r="T225" s="87">
        <v>314562</v>
      </c>
      <c r="V225" s="117" t="s">
        <v>174</v>
      </c>
      <c r="W225" s="87">
        <v>258997</v>
      </c>
      <c r="X225" s="87">
        <v>308396</v>
      </c>
      <c r="Y225" s="87">
        <v>377780</v>
      </c>
      <c r="Z225" s="87">
        <v>402245</v>
      </c>
      <c r="AA225" s="87">
        <v>298605</v>
      </c>
      <c r="AB225" s="87">
        <v>294507</v>
      </c>
    </row>
    <row r="226" spans="2:28" ht="16.2" thickBot="1">
      <c r="B226" s="117" t="s">
        <v>151</v>
      </c>
      <c r="C226" s="106">
        <v>0</v>
      </c>
      <c r="D226" s="106">
        <v>0</v>
      </c>
      <c r="E226" s="106">
        <v>0</v>
      </c>
      <c r="F226" s="106">
        <v>0</v>
      </c>
      <c r="G226" s="106">
        <v>0</v>
      </c>
      <c r="H226" s="106">
        <v>0</v>
      </c>
      <c r="I226" s="106">
        <v>0</v>
      </c>
      <c r="J226" s="106">
        <v>0</v>
      </c>
      <c r="K226" s="106">
        <v>0</v>
      </c>
      <c r="L226" s="106">
        <v>0</v>
      </c>
      <c r="M226" s="106">
        <v>0</v>
      </c>
      <c r="N226" s="106">
        <v>0</v>
      </c>
      <c r="O226" s="106">
        <v>0</v>
      </c>
      <c r="P226" s="106"/>
      <c r="Q226" s="106"/>
      <c r="R226" s="106"/>
      <c r="S226" s="106">
        <v>0</v>
      </c>
      <c r="T226" s="87"/>
      <c r="V226" s="117" t="s">
        <v>151</v>
      </c>
      <c r="W226" s="87"/>
      <c r="X226" s="87"/>
      <c r="Y226" s="87">
        <v>0</v>
      </c>
      <c r="Z226" s="87" t="s">
        <v>1155</v>
      </c>
      <c r="AA226" s="87">
        <v>0</v>
      </c>
      <c r="AB226" s="87">
        <v>0</v>
      </c>
    </row>
    <row r="227" spans="2:28" ht="16.2" thickBot="1">
      <c r="B227" s="117" t="s">
        <v>91</v>
      </c>
      <c r="C227" s="106">
        <v>5133</v>
      </c>
      <c r="D227" s="106">
        <v>4625</v>
      </c>
      <c r="E227" s="106">
        <v>62908</v>
      </c>
      <c r="F227" s="106">
        <v>65236</v>
      </c>
      <c r="G227" s="106">
        <v>67390</v>
      </c>
      <c r="H227" s="106">
        <v>4269</v>
      </c>
      <c r="I227" s="106">
        <v>72405</v>
      </c>
      <c r="J227" s="106">
        <v>74865</v>
      </c>
      <c r="K227" s="106">
        <v>77275</v>
      </c>
      <c r="L227" s="106">
        <v>3475</v>
      </c>
      <c r="M227" s="106">
        <v>82551</v>
      </c>
      <c r="N227" s="106">
        <v>84812</v>
      </c>
      <c r="O227" s="106">
        <v>86806</v>
      </c>
      <c r="P227" s="106">
        <v>88413</v>
      </c>
      <c r="Q227" s="106">
        <v>4382</v>
      </c>
      <c r="R227" s="106">
        <v>4845</v>
      </c>
      <c r="S227" s="106">
        <v>5193</v>
      </c>
      <c r="T227" s="87">
        <v>5315</v>
      </c>
      <c r="V227" s="117" t="s">
        <v>91</v>
      </c>
      <c r="W227" s="87">
        <v>5462</v>
      </c>
      <c r="X227" s="87">
        <v>5817</v>
      </c>
      <c r="Y227" s="87">
        <v>5110</v>
      </c>
      <c r="Z227" s="87">
        <v>4990</v>
      </c>
      <c r="AA227" s="87">
        <v>4711</v>
      </c>
      <c r="AB227" s="87">
        <f>4983+1</f>
        <v>4984</v>
      </c>
    </row>
    <row r="228" spans="2:28" ht="16.2" thickBot="1">
      <c r="B228" s="117" t="s">
        <v>102</v>
      </c>
      <c r="C228" s="106">
        <v>7925</v>
      </c>
      <c r="D228" s="106">
        <v>8121</v>
      </c>
      <c r="E228" s="106">
        <v>8388</v>
      </c>
      <c r="F228" s="106">
        <v>8997</v>
      </c>
      <c r="G228" s="106">
        <v>9117</v>
      </c>
      <c r="H228" s="106">
        <v>8162</v>
      </c>
      <c r="I228" s="106">
        <v>8307</v>
      </c>
      <c r="J228" s="106">
        <v>8224</v>
      </c>
      <c r="K228" s="106">
        <v>8267</v>
      </c>
      <c r="L228" s="106">
        <v>7979</v>
      </c>
      <c r="M228" s="106">
        <v>7411</v>
      </c>
      <c r="N228" s="106">
        <v>7455</v>
      </c>
      <c r="O228" s="106">
        <v>7450</v>
      </c>
      <c r="P228" s="106">
        <v>6900</v>
      </c>
      <c r="Q228" s="106">
        <v>6885</v>
      </c>
      <c r="R228" s="106">
        <v>7384</v>
      </c>
      <c r="S228" s="106">
        <v>7267</v>
      </c>
      <c r="T228" s="87">
        <v>4584</v>
      </c>
      <c r="V228" s="117" t="s">
        <v>102</v>
      </c>
      <c r="W228" s="87">
        <v>4533</v>
      </c>
      <c r="X228" s="87">
        <v>4847</v>
      </c>
      <c r="Y228" s="87">
        <v>4823</v>
      </c>
      <c r="Z228" s="87">
        <v>4509</v>
      </c>
      <c r="AA228" s="87">
        <v>4529</v>
      </c>
      <c r="AB228" s="87">
        <v>4443</v>
      </c>
    </row>
    <row r="229" spans="2:28" ht="16.2" thickBot="1">
      <c r="B229" s="117" t="s">
        <v>103</v>
      </c>
      <c r="C229" s="106">
        <v>689893</v>
      </c>
      <c r="D229" s="106">
        <v>671689</v>
      </c>
      <c r="E229" s="106">
        <v>669300</v>
      </c>
      <c r="F229" s="106">
        <v>666224</v>
      </c>
      <c r="G229" s="106">
        <v>661293</v>
      </c>
      <c r="H229" s="106">
        <v>658200</v>
      </c>
      <c r="I229" s="106">
        <v>666854</v>
      </c>
      <c r="J229" s="106">
        <v>667232</v>
      </c>
      <c r="K229" s="106">
        <v>666296</v>
      </c>
      <c r="L229" s="106">
        <v>651255</v>
      </c>
      <c r="M229" s="106">
        <v>660784</v>
      </c>
      <c r="N229" s="106">
        <v>657478</v>
      </c>
      <c r="O229" s="106">
        <v>654846</v>
      </c>
      <c r="P229" s="106">
        <v>644132</v>
      </c>
      <c r="Q229" s="106">
        <v>653206</v>
      </c>
      <c r="R229" s="106">
        <v>652076</v>
      </c>
      <c r="S229" s="106">
        <v>655882</v>
      </c>
      <c r="T229" s="87">
        <v>677840</v>
      </c>
      <c r="V229" s="117" t="s">
        <v>103</v>
      </c>
      <c r="W229" s="87">
        <v>688237</v>
      </c>
      <c r="X229" s="87">
        <v>695290</v>
      </c>
      <c r="Y229" s="87">
        <v>711875</v>
      </c>
      <c r="Z229" s="87">
        <v>749048</v>
      </c>
      <c r="AA229" s="87">
        <v>785048</v>
      </c>
      <c r="AB229" s="87">
        <v>862331</v>
      </c>
    </row>
    <row r="230" spans="2:28" ht="16.2" thickBot="1">
      <c r="B230" s="117" t="s">
        <v>104</v>
      </c>
      <c r="C230" s="106">
        <v>0</v>
      </c>
      <c r="D230" s="106">
        <v>0</v>
      </c>
      <c r="E230" s="106">
        <v>0</v>
      </c>
      <c r="F230" s="106">
        <v>0</v>
      </c>
      <c r="G230" s="106">
        <v>0</v>
      </c>
      <c r="H230" s="106">
        <v>0</v>
      </c>
      <c r="I230" s="106">
        <v>0</v>
      </c>
      <c r="J230" s="106">
        <v>0</v>
      </c>
      <c r="K230" s="106">
        <v>0</v>
      </c>
      <c r="L230" s="106">
        <v>0</v>
      </c>
      <c r="M230" s="106">
        <v>0</v>
      </c>
      <c r="N230" s="106">
        <v>0</v>
      </c>
      <c r="O230" s="106">
        <v>0</v>
      </c>
      <c r="P230" s="106"/>
      <c r="Q230" s="106"/>
      <c r="R230" s="106"/>
      <c r="S230" s="106">
        <v>0</v>
      </c>
      <c r="T230" s="87"/>
      <c r="V230" s="117" t="s">
        <v>104</v>
      </c>
      <c r="W230" s="87"/>
      <c r="X230" s="87"/>
      <c r="Y230" s="87">
        <v>0</v>
      </c>
      <c r="Z230" s="87" t="s">
        <v>1155</v>
      </c>
      <c r="AA230" s="87">
        <v>0</v>
      </c>
      <c r="AB230" s="87">
        <v>0</v>
      </c>
    </row>
    <row r="231" spans="2:28" ht="16.2" thickBot="1">
      <c r="B231" s="117" t="s">
        <v>106</v>
      </c>
      <c r="C231" s="106">
        <v>10973</v>
      </c>
      <c r="D231" s="106">
        <v>11103</v>
      </c>
      <c r="E231" s="106">
        <v>10974</v>
      </c>
      <c r="F231" s="106">
        <v>10889</v>
      </c>
      <c r="G231" s="106">
        <v>10813</v>
      </c>
      <c r="H231" s="106">
        <v>10856</v>
      </c>
      <c r="I231" s="106">
        <v>12995</v>
      </c>
      <c r="J231" s="106">
        <v>12858</v>
      </c>
      <c r="K231" s="106">
        <v>14363</v>
      </c>
      <c r="L231" s="106">
        <v>11187</v>
      </c>
      <c r="M231" s="106">
        <v>13338</v>
      </c>
      <c r="N231" s="106">
        <v>11816</v>
      </c>
      <c r="O231" s="106">
        <v>12407</v>
      </c>
      <c r="P231" s="106">
        <v>11880</v>
      </c>
      <c r="Q231" s="106">
        <v>13496</v>
      </c>
      <c r="R231" s="106">
        <v>13864</v>
      </c>
      <c r="S231" s="106">
        <v>12575</v>
      </c>
      <c r="T231" s="87">
        <v>15257</v>
      </c>
      <c r="V231" s="117" t="s">
        <v>106</v>
      </c>
      <c r="W231" s="87">
        <v>15047</v>
      </c>
      <c r="X231" s="87">
        <v>14828</v>
      </c>
      <c r="Y231" s="87">
        <v>14859</v>
      </c>
      <c r="Z231" s="87">
        <v>23470</v>
      </c>
      <c r="AA231" s="87">
        <v>23865</v>
      </c>
      <c r="AB231" s="87">
        <v>23647</v>
      </c>
    </row>
    <row r="232" spans="2:28" ht="16.2" thickBot="1">
      <c r="B232" s="117" t="s">
        <v>94</v>
      </c>
      <c r="C232" s="106">
        <v>0</v>
      </c>
      <c r="D232" s="106">
        <v>0</v>
      </c>
      <c r="E232" s="106">
        <v>0</v>
      </c>
      <c r="F232" s="106">
        <v>0</v>
      </c>
      <c r="G232" s="106">
        <v>0</v>
      </c>
      <c r="H232" s="106">
        <v>0</v>
      </c>
      <c r="I232" s="106">
        <v>0</v>
      </c>
      <c r="J232" s="106">
        <v>0</v>
      </c>
      <c r="K232" s="106">
        <v>0</v>
      </c>
      <c r="L232" s="106">
        <v>0</v>
      </c>
      <c r="M232" s="106">
        <v>0</v>
      </c>
      <c r="N232" s="106">
        <v>0</v>
      </c>
      <c r="O232" s="106">
        <v>0</v>
      </c>
      <c r="P232" s="106"/>
      <c r="Q232" s="106"/>
      <c r="R232" s="106"/>
      <c r="S232" s="106">
        <v>0</v>
      </c>
      <c r="T232" s="87"/>
      <c r="V232" s="117" t="s">
        <v>94</v>
      </c>
      <c r="W232" s="87"/>
      <c r="X232" s="87"/>
      <c r="Y232" s="87">
        <v>0</v>
      </c>
      <c r="Z232" s="87" t="s">
        <v>1155</v>
      </c>
      <c r="AA232" s="87">
        <v>0</v>
      </c>
      <c r="AB232" s="87">
        <v>0</v>
      </c>
    </row>
    <row r="233" spans="2:28" ht="16.2" thickBot="1">
      <c r="B233" s="117" t="s">
        <v>107</v>
      </c>
      <c r="C233" s="106">
        <v>33958</v>
      </c>
      <c r="D233" s="106">
        <v>36061</v>
      </c>
      <c r="E233" s="106">
        <v>36310</v>
      </c>
      <c r="F233" s="106">
        <v>35583</v>
      </c>
      <c r="G233" s="106">
        <v>35543</v>
      </c>
      <c r="H233" s="106">
        <v>35252</v>
      </c>
      <c r="I233" s="106">
        <v>35002</v>
      </c>
      <c r="J233" s="106">
        <v>34590</v>
      </c>
      <c r="K233" s="106">
        <v>34115</v>
      </c>
      <c r="L233" s="106">
        <v>33100</v>
      </c>
      <c r="M233" s="106">
        <v>33094</v>
      </c>
      <c r="N233" s="106">
        <v>31937</v>
      </c>
      <c r="O233" s="106">
        <v>31447</v>
      </c>
      <c r="P233" s="106">
        <v>31875</v>
      </c>
      <c r="Q233" s="106">
        <v>32097</v>
      </c>
      <c r="R233" s="106">
        <v>32213</v>
      </c>
      <c r="S233" s="106">
        <v>37440</v>
      </c>
      <c r="T233" s="87"/>
      <c r="V233" s="117" t="s">
        <v>107</v>
      </c>
      <c r="W233" s="87"/>
      <c r="X233" s="87"/>
      <c r="Y233" s="87">
        <v>0</v>
      </c>
      <c r="Z233" s="87" t="s">
        <v>1155</v>
      </c>
      <c r="AA233" s="87">
        <v>0</v>
      </c>
      <c r="AB233" s="87">
        <v>0</v>
      </c>
    </row>
    <row r="234" spans="2:28" ht="16.2" thickBot="1">
      <c r="B234" s="117" t="s">
        <v>108</v>
      </c>
      <c r="C234" s="106">
        <v>748</v>
      </c>
      <c r="D234" s="106">
        <v>492</v>
      </c>
      <c r="E234" s="106">
        <v>427</v>
      </c>
      <c r="F234" s="106">
        <v>363</v>
      </c>
      <c r="G234" s="106">
        <v>299</v>
      </c>
      <c r="H234" s="106">
        <v>12936</v>
      </c>
      <c r="I234" s="106">
        <v>171</v>
      </c>
      <c r="J234" s="106">
        <v>103</v>
      </c>
      <c r="K234" s="106">
        <v>41</v>
      </c>
      <c r="L234" s="106">
        <v>13464</v>
      </c>
      <c r="M234" s="106">
        <v>436</v>
      </c>
      <c r="N234" s="106">
        <v>1211</v>
      </c>
      <c r="O234" s="106">
        <v>1813</v>
      </c>
      <c r="P234" s="106">
        <v>14102</v>
      </c>
      <c r="Q234" s="106">
        <v>0</v>
      </c>
      <c r="R234" s="106">
        <v>0</v>
      </c>
      <c r="S234" s="106">
        <v>0</v>
      </c>
      <c r="T234" s="87"/>
      <c r="V234" s="117" t="s">
        <v>108</v>
      </c>
      <c r="W234" s="87"/>
      <c r="X234" s="87"/>
      <c r="Y234" s="87">
        <v>0</v>
      </c>
      <c r="Z234" s="87" t="s">
        <v>1155</v>
      </c>
      <c r="AA234" s="87">
        <v>0</v>
      </c>
      <c r="AB234" s="87">
        <v>0</v>
      </c>
    </row>
    <row r="235" spans="2:28" ht="16.2" thickBot="1">
      <c r="B235" s="117" t="s">
        <v>175</v>
      </c>
      <c r="C235" s="106">
        <v>0</v>
      </c>
      <c r="D235" s="106">
        <v>0</v>
      </c>
      <c r="E235" s="106">
        <v>0</v>
      </c>
      <c r="F235" s="106">
        <v>0</v>
      </c>
      <c r="G235" s="106">
        <v>0</v>
      </c>
      <c r="H235" s="106">
        <v>0</v>
      </c>
      <c r="I235" s="106">
        <v>0</v>
      </c>
      <c r="J235" s="106">
        <v>0</v>
      </c>
      <c r="K235" s="106">
        <v>0</v>
      </c>
      <c r="L235" s="106">
        <v>1390</v>
      </c>
      <c r="M235" s="106">
        <v>0</v>
      </c>
      <c r="N235" s="106">
        <v>1781</v>
      </c>
      <c r="O235" s="106">
        <v>410</v>
      </c>
      <c r="P235" s="106">
        <v>402</v>
      </c>
      <c r="Q235" s="106">
        <v>0</v>
      </c>
      <c r="R235" s="106">
        <v>0</v>
      </c>
      <c r="S235" s="106">
        <v>0</v>
      </c>
      <c r="T235" s="87"/>
      <c r="V235" s="117" t="s">
        <v>175</v>
      </c>
      <c r="W235" s="87"/>
      <c r="X235" s="87"/>
      <c r="Y235" s="87">
        <v>0</v>
      </c>
      <c r="Z235" s="87" t="s">
        <v>1155</v>
      </c>
      <c r="AA235" s="87">
        <v>0</v>
      </c>
      <c r="AB235" s="87">
        <v>0</v>
      </c>
    </row>
    <row r="236" spans="2:28" ht="16.2" thickBot="1">
      <c r="B236" s="117" t="s">
        <v>95</v>
      </c>
      <c r="C236" s="106">
        <v>288769</v>
      </c>
      <c r="D236" s="106">
        <v>300348</v>
      </c>
      <c r="E236" s="106">
        <v>489773</v>
      </c>
      <c r="F236" s="106">
        <v>489773</v>
      </c>
      <c r="G236" s="106">
        <v>244886</v>
      </c>
      <c r="H236" s="106">
        <v>310677</v>
      </c>
      <c r="I236" s="106">
        <v>244886</v>
      </c>
      <c r="J236" s="106">
        <v>244886</v>
      </c>
      <c r="K236" s="106">
        <v>244886</v>
      </c>
      <c r="L236" s="106">
        <v>321301</v>
      </c>
      <c r="M236" s="106">
        <v>244886</v>
      </c>
      <c r="N236" s="106">
        <v>244886</v>
      </c>
      <c r="O236" s="106">
        <v>244886</v>
      </c>
      <c r="P236" s="106">
        <v>244886</v>
      </c>
      <c r="Q236" s="106">
        <v>330972</v>
      </c>
      <c r="R236" s="106">
        <v>332442</v>
      </c>
      <c r="S236" s="106">
        <v>334004</v>
      </c>
      <c r="T236" s="87">
        <v>275163</v>
      </c>
      <c r="V236" s="117" t="s">
        <v>95</v>
      </c>
      <c r="W236" s="87">
        <v>253107</v>
      </c>
      <c r="X236" s="87">
        <v>255266</v>
      </c>
      <c r="Y236" s="87">
        <v>259839</v>
      </c>
      <c r="Z236" s="87">
        <v>327832</v>
      </c>
      <c r="AA236" s="87">
        <v>335057</v>
      </c>
      <c r="AB236" s="87">
        <v>342250</v>
      </c>
    </row>
    <row r="237" spans="2:28" ht="15.6" thickBot="1">
      <c r="B237" s="115" t="s">
        <v>110</v>
      </c>
      <c r="C237" s="120">
        <f t="shared" ref="C237:N237" si="51">SUM(C223:C236)</f>
        <v>1317577</v>
      </c>
      <c r="D237" s="120">
        <f t="shared" si="51"/>
        <v>1312613</v>
      </c>
      <c r="E237" s="120">
        <f t="shared" si="51"/>
        <v>1504862</v>
      </c>
      <c r="F237" s="120">
        <f t="shared" si="51"/>
        <v>1532384</v>
      </c>
      <c r="G237" s="120">
        <f t="shared" si="51"/>
        <v>1304755</v>
      </c>
      <c r="H237" s="120">
        <f t="shared" si="51"/>
        <v>1349465</v>
      </c>
      <c r="I237" s="120">
        <f t="shared" si="51"/>
        <v>1283775</v>
      </c>
      <c r="J237" s="120">
        <f t="shared" si="51"/>
        <v>1308221</v>
      </c>
      <c r="K237" s="120">
        <f t="shared" si="51"/>
        <v>1354495</v>
      </c>
      <c r="L237" s="120">
        <f t="shared" si="51"/>
        <v>1342872</v>
      </c>
      <c r="M237" s="120">
        <f t="shared" si="51"/>
        <v>1425086</v>
      </c>
      <c r="N237" s="120">
        <f t="shared" si="51"/>
        <v>1319629</v>
      </c>
      <c r="O237" s="120">
        <v>1350473</v>
      </c>
      <c r="P237" s="120">
        <v>1336768</v>
      </c>
      <c r="Q237" s="120">
        <v>1323218</v>
      </c>
      <c r="R237" s="120">
        <v>1349833</v>
      </c>
      <c r="S237" s="120">
        <v>1360649</v>
      </c>
      <c r="T237" s="120">
        <f t="shared" ref="T237" si="52">SUM(T223:T236)</f>
        <v>1292756</v>
      </c>
      <c r="V237" s="115" t="s">
        <v>110</v>
      </c>
      <c r="W237" s="120">
        <f t="shared" ref="W237" si="53">SUM(W223:W236)</f>
        <v>1225418</v>
      </c>
      <c r="X237" s="120">
        <f t="shared" ref="X237" si="54">SUM(X223:X236)</f>
        <v>1284479</v>
      </c>
      <c r="Y237" s="120">
        <v>1374286</v>
      </c>
      <c r="Z237" s="120">
        <v>1512094</v>
      </c>
      <c r="AA237" s="120">
        <f t="shared" ref="AA237:AB237" si="55">SUM(AA223:AA236)</f>
        <v>1451815</v>
      </c>
      <c r="AB237" s="120">
        <f t="shared" si="55"/>
        <v>1532162</v>
      </c>
    </row>
    <row r="238" spans="2:28" ht="15.6" thickBot="1">
      <c r="B238" s="121" t="s">
        <v>111</v>
      </c>
      <c r="C238" s="122">
        <f t="shared" ref="C238:N238" si="56">+C221+C237</f>
        <v>1397250</v>
      </c>
      <c r="D238" s="122">
        <f t="shared" si="56"/>
        <v>1388889</v>
      </c>
      <c r="E238" s="122">
        <f t="shared" si="56"/>
        <v>1367395</v>
      </c>
      <c r="F238" s="122">
        <f t="shared" si="56"/>
        <v>1361686</v>
      </c>
      <c r="G238" s="122">
        <f t="shared" si="56"/>
        <v>1396890</v>
      </c>
      <c r="H238" s="122">
        <f t="shared" si="56"/>
        <v>1436935</v>
      </c>
      <c r="I238" s="122">
        <f t="shared" si="56"/>
        <v>1432526</v>
      </c>
      <c r="J238" s="122">
        <f t="shared" si="56"/>
        <v>1378188</v>
      </c>
      <c r="K238" s="122">
        <f t="shared" si="56"/>
        <v>1443655</v>
      </c>
      <c r="L238" s="122">
        <f t="shared" si="56"/>
        <v>1452298</v>
      </c>
      <c r="M238" s="122">
        <f t="shared" si="56"/>
        <v>1519466</v>
      </c>
      <c r="N238" s="122">
        <f t="shared" si="56"/>
        <v>1442945</v>
      </c>
      <c r="O238" s="122">
        <v>1480949</v>
      </c>
      <c r="P238" s="122">
        <v>1456659</v>
      </c>
      <c r="Q238" s="122">
        <v>1483451</v>
      </c>
      <c r="R238" s="122">
        <v>1535134</v>
      </c>
      <c r="S238" s="122">
        <v>1570787</v>
      </c>
      <c r="T238" s="122">
        <f t="shared" ref="T238" si="57">+T221+T237</f>
        <v>1507616</v>
      </c>
      <c r="V238" s="121" t="s">
        <v>111</v>
      </c>
      <c r="W238" s="122">
        <f t="shared" ref="W238:X238" si="58">+W221+W237</f>
        <v>1473620</v>
      </c>
      <c r="X238" s="122">
        <f t="shared" si="58"/>
        <v>1533355</v>
      </c>
      <c r="Y238" s="122">
        <v>1755872</v>
      </c>
      <c r="Z238" s="122">
        <v>1788873</v>
      </c>
      <c r="AA238" s="122">
        <f t="shared" ref="AA238:AB238" si="59">+AA221+AA237</f>
        <v>1827263</v>
      </c>
      <c r="AB238" s="122">
        <f t="shared" si="59"/>
        <v>1809039</v>
      </c>
    </row>
    <row r="239" spans="2:28" ht="15.6" thickBot="1">
      <c r="B239" s="123"/>
      <c r="C239" s="124"/>
      <c r="D239" s="124"/>
      <c r="E239" s="124"/>
      <c r="F239" s="124"/>
      <c r="G239" s="124"/>
      <c r="H239" s="124"/>
      <c r="I239" s="124"/>
      <c r="J239" s="124"/>
      <c r="K239" s="124"/>
      <c r="L239" s="124"/>
      <c r="M239" s="124"/>
      <c r="N239" s="124"/>
      <c r="O239" s="124"/>
      <c r="P239" s="124"/>
      <c r="Q239" s="124"/>
      <c r="R239" s="124"/>
      <c r="S239" s="124">
        <v>0</v>
      </c>
      <c r="T239" s="173"/>
      <c r="V239" s="123"/>
      <c r="W239" s="173"/>
      <c r="X239" s="173"/>
      <c r="Y239" s="173"/>
      <c r="Z239" s="173"/>
      <c r="AA239" s="173"/>
      <c r="AB239" s="173"/>
    </row>
    <row r="240" spans="2:28" ht="15.6" thickBot="1">
      <c r="B240" s="113" t="s">
        <v>112</v>
      </c>
      <c r="C240" s="125"/>
      <c r="D240" s="125"/>
      <c r="E240" s="125"/>
      <c r="F240" s="125"/>
      <c r="G240" s="125"/>
      <c r="H240" s="125"/>
      <c r="I240" s="125"/>
      <c r="J240" s="125"/>
      <c r="K240" s="125"/>
      <c r="L240" s="125"/>
      <c r="M240" s="125"/>
      <c r="N240" s="125"/>
      <c r="O240" s="125"/>
      <c r="P240" s="125"/>
      <c r="Q240" s="125"/>
      <c r="R240" s="125"/>
      <c r="S240" s="125"/>
      <c r="T240" s="175"/>
      <c r="V240" s="113" t="s">
        <v>112</v>
      </c>
      <c r="W240" s="175"/>
      <c r="X240" s="175"/>
      <c r="Y240" s="175"/>
      <c r="Z240" s="175"/>
      <c r="AA240" s="175"/>
      <c r="AB240" s="175"/>
    </row>
    <row r="241" spans="2:28" ht="15.6" thickBot="1">
      <c r="B241" s="115" t="s">
        <v>113</v>
      </c>
      <c r="C241" s="126"/>
      <c r="D241" s="126"/>
      <c r="E241" s="126"/>
      <c r="F241" s="126"/>
      <c r="G241" s="126"/>
      <c r="H241" s="126"/>
      <c r="I241" s="126"/>
      <c r="J241" s="126"/>
      <c r="K241" s="126"/>
      <c r="L241" s="126"/>
      <c r="M241" s="126"/>
      <c r="N241" s="126"/>
      <c r="O241" s="126"/>
      <c r="P241" s="126"/>
      <c r="Q241" s="126"/>
      <c r="R241" s="126"/>
      <c r="S241" s="126"/>
      <c r="T241" s="176"/>
      <c r="V241" s="115" t="s">
        <v>113</v>
      </c>
      <c r="W241" s="176"/>
      <c r="X241" s="176"/>
      <c r="Y241" s="176"/>
      <c r="Z241" s="176"/>
      <c r="AA241" s="176"/>
      <c r="AB241" s="176"/>
    </row>
    <row r="242" spans="2:28" ht="16.2" thickBot="1">
      <c r="B242" s="117" t="s">
        <v>114</v>
      </c>
      <c r="C242" s="106">
        <f>3192+32107+241</f>
        <v>35540</v>
      </c>
      <c r="D242" s="106">
        <f>3326+16174+247</f>
        <v>19747</v>
      </c>
      <c r="E242" s="106">
        <v>32331</v>
      </c>
      <c r="F242" s="106">
        <v>45412</v>
      </c>
      <c r="G242" s="106">
        <v>67809</v>
      </c>
      <c r="H242" s="106">
        <f>3124+68966+61</f>
        <v>72151</v>
      </c>
      <c r="I242" s="106">
        <v>4273</v>
      </c>
      <c r="J242" s="106">
        <v>4409</v>
      </c>
      <c r="K242" s="106">
        <v>10704</v>
      </c>
      <c r="L242" s="106">
        <f>3211+1500+607</f>
        <v>5318</v>
      </c>
      <c r="M242" s="106">
        <v>4502</v>
      </c>
      <c r="N242" s="106">
        <v>4095</v>
      </c>
      <c r="O242" s="106">
        <v>3568</v>
      </c>
      <c r="P242" s="106">
        <v>83349</v>
      </c>
      <c r="Q242" s="106">
        <v>83178</v>
      </c>
      <c r="R242" s="106">
        <v>90929</v>
      </c>
      <c r="S242" s="106">
        <v>101938</v>
      </c>
      <c r="T242" s="106">
        <v>5226</v>
      </c>
      <c r="V242" s="117" t="s">
        <v>114</v>
      </c>
      <c r="W242" s="106">
        <v>6648</v>
      </c>
      <c r="X242" s="106">
        <v>8531</v>
      </c>
      <c r="Y242" s="106">
        <v>14341</v>
      </c>
      <c r="Z242" s="106">
        <v>16854</v>
      </c>
      <c r="AA242" s="106">
        <v>18173</v>
      </c>
      <c r="AB242" s="87">
        <v>17717</v>
      </c>
    </row>
    <row r="243" spans="2:28" ht="16.2" thickBot="1">
      <c r="B243" s="117" t="s">
        <v>115</v>
      </c>
      <c r="C243" s="106">
        <v>21909</v>
      </c>
      <c r="D243" s="106">
        <v>13740</v>
      </c>
      <c r="E243" s="106">
        <v>76147</v>
      </c>
      <c r="F243" s="106">
        <v>35426</v>
      </c>
      <c r="G243" s="106">
        <v>19747</v>
      </c>
      <c r="H243" s="106">
        <v>29019</v>
      </c>
      <c r="I243" s="106">
        <v>123689</v>
      </c>
      <c r="J243" s="106">
        <v>34403</v>
      </c>
      <c r="K243" s="106">
        <v>20460</v>
      </c>
      <c r="L243" s="106">
        <v>17462</v>
      </c>
      <c r="M243" s="106">
        <v>136328</v>
      </c>
      <c r="N243" s="106">
        <v>46998</v>
      </c>
      <c r="O243" s="106">
        <v>21094</v>
      </c>
      <c r="P243" s="106">
        <v>18522</v>
      </c>
      <c r="Q243" s="106">
        <v>113466</v>
      </c>
      <c r="R243" s="106">
        <v>116715</v>
      </c>
      <c r="S243" s="106">
        <v>50494</v>
      </c>
      <c r="T243" s="106">
        <v>34062</v>
      </c>
      <c r="V243" s="117" t="s">
        <v>115</v>
      </c>
      <c r="W243" s="106">
        <v>154188</v>
      </c>
      <c r="X243" s="106">
        <v>115714</v>
      </c>
      <c r="Y243" s="106">
        <v>24216</v>
      </c>
      <c r="Z243" s="106">
        <v>40707</v>
      </c>
      <c r="AA243" s="106">
        <v>208335</v>
      </c>
      <c r="AB243" s="87">
        <v>208478</v>
      </c>
    </row>
    <row r="244" spans="2:28" ht="16.2" thickBot="1">
      <c r="B244" s="117" t="s">
        <v>176</v>
      </c>
      <c r="C244" s="106">
        <v>0</v>
      </c>
      <c r="D244" s="106">
        <v>915</v>
      </c>
      <c r="E244" s="106"/>
      <c r="F244" s="106"/>
      <c r="G244" s="106"/>
      <c r="H244" s="106">
        <v>1158</v>
      </c>
      <c r="I244" s="106"/>
      <c r="J244" s="106"/>
      <c r="K244" s="106"/>
      <c r="L244" s="106">
        <v>893</v>
      </c>
      <c r="M244" s="106"/>
      <c r="N244" s="106"/>
      <c r="O244" s="106"/>
      <c r="P244" s="106"/>
      <c r="Q244" s="106"/>
      <c r="R244" s="106"/>
      <c r="S244" s="106">
        <v>0</v>
      </c>
      <c r="T244" s="106"/>
      <c r="V244" s="117" t="s">
        <v>176</v>
      </c>
      <c r="W244" s="106"/>
      <c r="X244" s="106"/>
      <c r="Y244" s="106">
        <v>0</v>
      </c>
      <c r="Z244" s="106" t="s">
        <v>1155</v>
      </c>
      <c r="AA244" s="106">
        <v>0</v>
      </c>
      <c r="AB244" s="87">
        <v>0</v>
      </c>
    </row>
    <row r="245" spans="2:28" ht="16.2" thickBot="1">
      <c r="B245" s="117" t="s">
        <v>117</v>
      </c>
      <c r="C245" s="106">
        <v>15675</v>
      </c>
      <c r="D245" s="106">
        <v>15904</v>
      </c>
      <c r="E245" s="106">
        <v>15554</v>
      </c>
      <c r="F245" s="106">
        <v>15575</v>
      </c>
      <c r="G245" s="106">
        <v>16199</v>
      </c>
      <c r="H245" s="106">
        <v>15646</v>
      </c>
      <c r="I245" s="106">
        <v>15518</v>
      </c>
      <c r="J245" s="106">
        <v>15388</v>
      </c>
      <c r="K245" s="106">
        <v>16122</v>
      </c>
      <c r="L245" s="106">
        <v>15932</v>
      </c>
      <c r="M245" s="106">
        <v>15810</v>
      </c>
      <c r="N245" s="106">
        <v>15713</v>
      </c>
      <c r="O245" s="106">
        <v>16774</v>
      </c>
      <c r="P245" s="106">
        <v>16244</v>
      </c>
      <c r="Q245" s="106">
        <v>15884</v>
      </c>
      <c r="R245" s="106">
        <v>15930</v>
      </c>
      <c r="S245" s="106">
        <v>16599</v>
      </c>
      <c r="T245" s="106">
        <v>16243</v>
      </c>
      <c r="V245" s="117" t="s">
        <v>117</v>
      </c>
      <c r="W245" s="106">
        <v>15689</v>
      </c>
      <c r="X245" s="106">
        <v>16502</v>
      </c>
      <c r="Y245" s="106">
        <v>18179</v>
      </c>
      <c r="Z245" s="106">
        <v>15413</v>
      </c>
      <c r="AA245" s="106">
        <v>14812</v>
      </c>
      <c r="AB245" s="87">
        <v>14913</v>
      </c>
    </row>
    <row r="246" spans="2:28" ht="16.2" thickBot="1">
      <c r="B246" s="117" t="s">
        <v>92</v>
      </c>
      <c r="C246" s="106">
        <v>16894</v>
      </c>
      <c r="D246" s="106">
        <v>21544</v>
      </c>
      <c r="E246" s="106">
        <v>29275</v>
      </c>
      <c r="F246" s="106">
        <v>24037</v>
      </c>
      <c r="G246" s="106">
        <v>34650</v>
      </c>
      <c r="H246" s="106">
        <v>22000</v>
      </c>
      <c r="I246" s="106">
        <v>28396</v>
      </c>
      <c r="J246" s="106">
        <v>23836</v>
      </c>
      <c r="K246" s="106">
        <v>34338</v>
      </c>
      <c r="L246" s="106">
        <v>18324</v>
      </c>
      <c r="M246" s="106">
        <v>26322</v>
      </c>
      <c r="N246" s="106">
        <v>24365</v>
      </c>
      <c r="O246" s="106">
        <v>35394</v>
      </c>
      <c r="P246" s="106">
        <v>17628</v>
      </c>
      <c r="Q246" s="106">
        <v>25755</v>
      </c>
      <c r="R246" s="106">
        <v>26489</v>
      </c>
      <c r="S246" s="106">
        <v>37444</v>
      </c>
      <c r="T246" s="106">
        <v>23559</v>
      </c>
      <c r="V246" s="117" t="s">
        <v>92</v>
      </c>
      <c r="W246" s="106">
        <v>27518</v>
      </c>
      <c r="X246" s="106">
        <v>22350</v>
      </c>
      <c r="Y246" s="106">
        <v>38278</v>
      </c>
      <c r="Z246" s="106">
        <v>45217</v>
      </c>
      <c r="AA246" s="106">
        <v>45110</v>
      </c>
      <c r="AB246" s="87">
        <v>12526</v>
      </c>
    </row>
    <row r="247" spans="2:28" ht="16.2" thickBot="1">
      <c r="B247" s="117" t="s">
        <v>118</v>
      </c>
      <c r="C247" s="106">
        <v>0</v>
      </c>
      <c r="D247" s="106">
        <v>0</v>
      </c>
      <c r="E247" s="106">
        <v>0</v>
      </c>
      <c r="F247" s="106">
        <v>0</v>
      </c>
      <c r="G247" s="106">
        <v>0</v>
      </c>
      <c r="H247" s="106">
        <v>0</v>
      </c>
      <c r="I247" s="106">
        <v>0</v>
      </c>
      <c r="J247" s="106">
        <v>0</v>
      </c>
      <c r="K247" s="106">
        <v>24</v>
      </c>
      <c r="L247" s="106">
        <v>0</v>
      </c>
      <c r="M247" s="106">
        <v>24</v>
      </c>
      <c r="N247" s="106">
        <v>24</v>
      </c>
      <c r="O247" s="106">
        <v>24</v>
      </c>
      <c r="P247" s="106">
        <v>8714</v>
      </c>
      <c r="Q247" s="106">
        <v>8713</v>
      </c>
      <c r="R247" s="106">
        <v>8714</v>
      </c>
      <c r="S247" s="106">
        <v>8714</v>
      </c>
      <c r="T247" s="106">
        <v>8714</v>
      </c>
      <c r="V247" s="117" t="s">
        <v>118</v>
      </c>
      <c r="W247" s="106">
        <v>8714</v>
      </c>
      <c r="X247" s="106">
        <v>8714</v>
      </c>
      <c r="Y247" s="106">
        <v>17714</v>
      </c>
      <c r="Z247" s="106">
        <v>8714</v>
      </c>
      <c r="AA247" s="106">
        <v>8714</v>
      </c>
      <c r="AB247" s="87">
        <v>8714</v>
      </c>
    </row>
    <row r="248" spans="2:28" ht="16.2" thickBot="1">
      <c r="B248" s="117" t="s">
        <v>119</v>
      </c>
      <c r="C248" s="106">
        <v>0</v>
      </c>
      <c r="D248" s="106">
        <v>0</v>
      </c>
      <c r="E248" s="106">
        <v>49</v>
      </c>
      <c r="F248" s="106">
        <v>49</v>
      </c>
      <c r="G248" s="106">
        <v>47</v>
      </c>
      <c r="H248" s="106">
        <v>0</v>
      </c>
      <c r="I248" s="106">
        <v>45</v>
      </c>
      <c r="J248" s="106">
        <v>45</v>
      </c>
      <c r="K248" s="106">
        <v>45</v>
      </c>
      <c r="L248" s="106">
        <v>0</v>
      </c>
      <c r="M248" s="106">
        <v>46</v>
      </c>
      <c r="N248" s="106">
        <v>2</v>
      </c>
      <c r="O248" s="106">
        <v>2</v>
      </c>
      <c r="P248" s="106">
        <v>2</v>
      </c>
      <c r="Q248" s="106">
        <v>4</v>
      </c>
      <c r="R248" s="106">
        <v>4</v>
      </c>
      <c r="S248" s="106">
        <v>4</v>
      </c>
      <c r="T248" s="106">
        <v>39</v>
      </c>
      <c r="V248" s="117" t="s">
        <v>119</v>
      </c>
      <c r="W248" s="106">
        <v>95</v>
      </c>
      <c r="X248" s="106">
        <v>2</v>
      </c>
      <c r="Y248" s="106">
        <v>2</v>
      </c>
      <c r="Z248" s="106">
        <v>42</v>
      </c>
      <c r="AA248" s="106">
        <v>744</v>
      </c>
      <c r="AB248" s="87">
        <v>66</v>
      </c>
    </row>
    <row r="249" spans="2:28" ht="16.2" thickBot="1">
      <c r="B249" s="117" t="s">
        <v>152</v>
      </c>
      <c r="C249" s="99">
        <v>0</v>
      </c>
      <c r="D249" s="99">
        <v>0</v>
      </c>
      <c r="E249" s="99">
        <v>0</v>
      </c>
      <c r="F249" s="99">
        <v>0</v>
      </c>
      <c r="G249" s="99">
        <v>0</v>
      </c>
      <c r="H249" s="99">
        <v>0</v>
      </c>
      <c r="I249" s="99">
        <v>0</v>
      </c>
      <c r="J249" s="99">
        <v>0</v>
      </c>
      <c r="K249" s="99">
        <v>0</v>
      </c>
      <c r="L249" s="99">
        <v>0</v>
      </c>
      <c r="M249" s="99">
        <v>0</v>
      </c>
      <c r="N249" s="99">
        <v>0</v>
      </c>
      <c r="O249" s="99">
        <v>0</v>
      </c>
      <c r="P249" s="99"/>
      <c r="Q249" s="99"/>
      <c r="R249" s="99"/>
      <c r="S249" s="99">
        <v>0</v>
      </c>
      <c r="T249" s="99"/>
      <c r="V249" s="117" t="s">
        <v>152</v>
      </c>
      <c r="W249" s="99"/>
      <c r="X249" s="99"/>
      <c r="Y249" s="99">
        <v>0</v>
      </c>
      <c r="Z249" s="99"/>
      <c r="AA249" s="99"/>
      <c r="AB249" s="87"/>
    </row>
    <row r="250" spans="2:28" ht="15.6" thickBot="1">
      <c r="B250" s="115" t="s">
        <v>121</v>
      </c>
      <c r="C250" s="120">
        <f t="shared" ref="C250:N250" si="60">SUM(C242:C249)</f>
        <v>90018</v>
      </c>
      <c r="D250" s="120">
        <f t="shared" si="60"/>
        <v>71850</v>
      </c>
      <c r="E250" s="120">
        <f t="shared" si="60"/>
        <v>153356</v>
      </c>
      <c r="F250" s="120">
        <f t="shared" si="60"/>
        <v>120499</v>
      </c>
      <c r="G250" s="120">
        <f t="shared" si="60"/>
        <v>138452</v>
      </c>
      <c r="H250" s="120">
        <f t="shared" si="60"/>
        <v>139974</v>
      </c>
      <c r="I250" s="120">
        <f t="shared" si="60"/>
        <v>171921</v>
      </c>
      <c r="J250" s="120">
        <f t="shared" si="60"/>
        <v>78081</v>
      </c>
      <c r="K250" s="120">
        <f t="shared" si="60"/>
        <v>81693</v>
      </c>
      <c r="L250" s="120">
        <f t="shared" si="60"/>
        <v>57929</v>
      </c>
      <c r="M250" s="120">
        <f t="shared" si="60"/>
        <v>183032</v>
      </c>
      <c r="N250" s="120">
        <f t="shared" si="60"/>
        <v>91197</v>
      </c>
      <c r="O250" s="120">
        <v>76856</v>
      </c>
      <c r="P250" s="120">
        <v>144459</v>
      </c>
      <c r="Q250" s="120">
        <v>247000</v>
      </c>
      <c r="R250" s="120">
        <v>258781</v>
      </c>
      <c r="S250" s="120">
        <v>215193</v>
      </c>
      <c r="T250" s="120">
        <f t="shared" ref="T250" si="61">SUM(T242:T249)</f>
        <v>87843</v>
      </c>
      <c r="V250" s="115" t="s">
        <v>121</v>
      </c>
      <c r="W250" s="120">
        <f t="shared" ref="W250" si="62">SUM(W242:W249)</f>
        <v>212852</v>
      </c>
      <c r="X250" s="120">
        <f t="shared" ref="X250" si="63">SUM(X242:X249)</f>
        <v>171813</v>
      </c>
      <c r="Y250" s="120">
        <v>112730</v>
      </c>
      <c r="Z250" s="120">
        <v>126947</v>
      </c>
      <c r="AA250" s="120">
        <f t="shared" ref="AA250:AB250" si="64">SUM(AA242:AA249)</f>
        <v>295888</v>
      </c>
      <c r="AB250" s="120">
        <f t="shared" si="64"/>
        <v>262414</v>
      </c>
    </row>
    <row r="251" spans="2:28" ht="15.6" thickBot="1">
      <c r="B251" s="127" t="s">
        <v>122</v>
      </c>
      <c r="C251" s="128"/>
      <c r="D251" s="128"/>
      <c r="E251" s="128"/>
      <c r="F251" s="128"/>
      <c r="G251" s="128"/>
      <c r="H251" s="128"/>
      <c r="I251" s="128"/>
      <c r="J251" s="128"/>
      <c r="K251" s="128"/>
      <c r="L251" s="128"/>
      <c r="M251" s="128"/>
      <c r="N251" s="128"/>
      <c r="O251" s="128"/>
      <c r="P251" s="128"/>
      <c r="Q251" s="128"/>
      <c r="R251" s="128"/>
      <c r="S251" s="128"/>
      <c r="T251" s="178"/>
      <c r="V251" s="127" t="s">
        <v>122</v>
      </c>
      <c r="W251" s="178"/>
      <c r="X251" s="178"/>
      <c r="Y251" s="178"/>
      <c r="Z251" s="178"/>
      <c r="AA251" s="178"/>
      <c r="AB251" s="178"/>
    </row>
    <row r="252" spans="2:28" ht="16.2" thickBot="1">
      <c r="B252" s="117" t="s">
        <v>114</v>
      </c>
      <c r="C252" s="106">
        <f>180000+174250+1</f>
        <v>354251</v>
      </c>
      <c r="D252" s="106">
        <f>180000+159250</f>
        <v>339250</v>
      </c>
      <c r="E252" s="106">
        <v>322250</v>
      </c>
      <c r="F252" s="106">
        <v>305250</v>
      </c>
      <c r="G252" s="106">
        <v>288250</v>
      </c>
      <c r="H252" s="106">
        <f>180000+91250</f>
        <v>271250</v>
      </c>
      <c r="I252" s="106">
        <v>338050</v>
      </c>
      <c r="J252" s="106">
        <v>338050</v>
      </c>
      <c r="K252" s="106">
        <v>338050</v>
      </c>
      <c r="L252" s="106">
        <f>180000+158050</f>
        <v>338050</v>
      </c>
      <c r="M252" s="106">
        <v>338050</v>
      </c>
      <c r="N252" s="106">
        <v>338050</v>
      </c>
      <c r="O252" s="106">
        <v>338050</v>
      </c>
      <c r="P252" s="106">
        <v>258050</v>
      </c>
      <c r="Q252" s="106">
        <v>258050</v>
      </c>
      <c r="R252" s="106">
        <v>250862</v>
      </c>
      <c r="S252" s="106">
        <v>240825</v>
      </c>
      <c r="T252" s="106">
        <v>328550</v>
      </c>
      <c r="V252" s="117" t="s">
        <v>114</v>
      </c>
      <c r="W252" s="106">
        <v>328550</v>
      </c>
      <c r="X252" s="106">
        <v>328550</v>
      </c>
      <c r="Y252" s="106">
        <v>522550</v>
      </c>
      <c r="Z252" s="106">
        <v>522550</v>
      </c>
      <c r="AA252" s="106">
        <v>522550</v>
      </c>
      <c r="AB252" s="87">
        <v>522550</v>
      </c>
    </row>
    <row r="253" spans="2:28" ht="16.2" thickBot="1">
      <c r="B253" s="117" t="s">
        <v>115</v>
      </c>
      <c r="C253" s="106">
        <v>12196</v>
      </c>
      <c r="D253" s="106">
        <v>12120</v>
      </c>
      <c r="E253" s="106">
        <v>12408</v>
      </c>
      <c r="F253" s="106">
        <v>12397</v>
      </c>
      <c r="G253" s="106">
        <v>12333</v>
      </c>
      <c r="H253" s="106">
        <v>12260</v>
      </c>
      <c r="I253" s="106">
        <v>14127</v>
      </c>
      <c r="J253" s="106">
        <v>14159</v>
      </c>
      <c r="K253" s="106">
        <v>14989</v>
      </c>
      <c r="L253" s="106">
        <v>14150</v>
      </c>
      <c r="M253" s="106">
        <v>13976</v>
      </c>
      <c r="N253" s="106">
        <v>14015</v>
      </c>
      <c r="O253" s="106">
        <v>14257</v>
      </c>
      <c r="P253" s="106">
        <v>14073</v>
      </c>
      <c r="Q253" s="106">
        <v>13901</v>
      </c>
      <c r="R253" s="106">
        <v>13788</v>
      </c>
      <c r="S253" s="106">
        <v>13774</v>
      </c>
      <c r="T253" s="106">
        <v>2056</v>
      </c>
      <c r="V253" s="117" t="s">
        <v>115</v>
      </c>
      <c r="W253" s="106">
        <v>2403</v>
      </c>
      <c r="X253" s="106">
        <v>2147</v>
      </c>
      <c r="Y253" s="106">
        <v>2217</v>
      </c>
      <c r="Z253" s="106">
        <v>2224</v>
      </c>
      <c r="AA253" s="106">
        <v>1879</v>
      </c>
      <c r="AB253" s="87">
        <v>1853</v>
      </c>
    </row>
    <row r="254" spans="2:28" ht="16.2" thickBot="1">
      <c r="B254" s="117" t="s">
        <v>123</v>
      </c>
      <c r="C254" s="106">
        <v>0</v>
      </c>
      <c r="D254" s="106">
        <v>0</v>
      </c>
      <c r="E254" s="106">
        <v>0</v>
      </c>
      <c r="F254" s="106">
        <v>0</v>
      </c>
      <c r="G254" s="106">
        <v>0</v>
      </c>
      <c r="H254" s="106">
        <v>0</v>
      </c>
      <c r="I254" s="106">
        <v>0</v>
      </c>
      <c r="J254" s="106">
        <v>0</v>
      </c>
      <c r="K254" s="106">
        <v>0</v>
      </c>
      <c r="L254" s="106">
        <v>0</v>
      </c>
      <c r="M254" s="106">
        <v>0</v>
      </c>
      <c r="N254" s="106">
        <v>0</v>
      </c>
      <c r="O254" s="106">
        <v>0</v>
      </c>
      <c r="P254" s="106"/>
      <c r="Q254" s="106"/>
      <c r="R254" s="106"/>
      <c r="S254" s="106">
        <v>0</v>
      </c>
      <c r="T254" s="106"/>
      <c r="V254" s="117" t="s">
        <v>123</v>
      </c>
      <c r="W254" s="106"/>
      <c r="X254" s="106"/>
      <c r="Y254" s="106">
        <v>0</v>
      </c>
      <c r="Z254" s="106" t="s">
        <v>1155</v>
      </c>
      <c r="AA254" s="106">
        <v>0</v>
      </c>
      <c r="AB254" s="87">
        <v>0</v>
      </c>
    </row>
    <row r="255" spans="2:28" ht="16.2" thickBot="1">
      <c r="B255" s="117" t="s">
        <v>117</v>
      </c>
      <c r="C255" s="106">
        <v>147734</v>
      </c>
      <c r="D255" s="106">
        <v>158229</v>
      </c>
      <c r="E255" s="106">
        <v>160161</v>
      </c>
      <c r="F255" s="106">
        <v>161147</v>
      </c>
      <c r="G255" s="106">
        <v>162872</v>
      </c>
      <c r="H255" s="106">
        <v>157153</v>
      </c>
      <c r="I255" s="106">
        <v>158917</v>
      </c>
      <c r="J255" s="106">
        <v>160321</v>
      </c>
      <c r="K255" s="106">
        <v>162128</v>
      </c>
      <c r="L255" s="106">
        <v>162337</v>
      </c>
      <c r="M255" s="106">
        <v>164224</v>
      </c>
      <c r="N255" s="106">
        <v>165858</v>
      </c>
      <c r="O255" s="106">
        <v>168320</v>
      </c>
      <c r="P255" s="106">
        <v>168734</v>
      </c>
      <c r="Q255" s="106">
        <v>170998</v>
      </c>
      <c r="R255" s="106">
        <v>172715</v>
      </c>
      <c r="S255" s="106">
        <v>174087</v>
      </c>
      <c r="T255" s="106">
        <v>131802</v>
      </c>
      <c r="V255" s="117" t="s">
        <v>117</v>
      </c>
      <c r="W255" s="106">
        <v>134302</v>
      </c>
      <c r="X255" s="106">
        <v>135074</v>
      </c>
      <c r="Y255" s="106">
        <v>136414</v>
      </c>
      <c r="Z255" s="106">
        <v>102327</v>
      </c>
      <c r="AA255" s="106">
        <v>104114</v>
      </c>
      <c r="AB255" s="87">
        <v>104600</v>
      </c>
    </row>
    <row r="256" spans="2:28" ht="16.2" thickBot="1">
      <c r="B256" s="117" t="s">
        <v>118</v>
      </c>
      <c r="C256" s="106">
        <v>0</v>
      </c>
      <c r="D256" s="106">
        <v>0</v>
      </c>
      <c r="E256" s="106">
        <v>0</v>
      </c>
      <c r="F256" s="106">
        <v>0</v>
      </c>
      <c r="G256" s="106">
        <v>0</v>
      </c>
      <c r="H256" s="106">
        <v>0</v>
      </c>
      <c r="I256" s="106">
        <v>0</v>
      </c>
      <c r="J256" s="106">
        <v>0</v>
      </c>
      <c r="K256" s="106">
        <v>0</v>
      </c>
      <c r="L256" s="106">
        <v>0</v>
      </c>
      <c r="M256" s="106">
        <v>0</v>
      </c>
      <c r="N256" s="106">
        <v>0</v>
      </c>
      <c r="O256" s="106">
        <v>0</v>
      </c>
      <c r="P256" s="106"/>
      <c r="Q256" s="106"/>
      <c r="R256" s="106"/>
      <c r="S256" s="106">
        <v>0</v>
      </c>
      <c r="T256" s="106"/>
      <c r="V256" s="117" t="s">
        <v>118</v>
      </c>
      <c r="W256" s="106"/>
      <c r="X256" s="106"/>
      <c r="Y256" s="106">
        <v>0</v>
      </c>
      <c r="Z256" s="106" t="s">
        <v>1155</v>
      </c>
      <c r="AA256" s="106">
        <v>0</v>
      </c>
      <c r="AB256" s="87">
        <v>0</v>
      </c>
    </row>
    <row r="257" spans="1:28" ht="16.2" thickBot="1">
      <c r="B257" s="117" t="s">
        <v>119</v>
      </c>
      <c r="C257" s="106">
        <v>5611</v>
      </c>
      <c r="D257" s="106">
        <v>5224</v>
      </c>
      <c r="E257" s="106">
        <v>5127</v>
      </c>
      <c r="F257" s="106">
        <v>5030</v>
      </c>
      <c r="G257" s="106">
        <f>4933-3</f>
        <v>4930</v>
      </c>
      <c r="H257" s="106">
        <v>4836</v>
      </c>
      <c r="I257" s="106">
        <v>4739</v>
      </c>
      <c r="J257" s="106">
        <f>4643-3</f>
        <v>4640</v>
      </c>
      <c r="K257" s="106">
        <f>4546-2</f>
        <v>4544</v>
      </c>
      <c r="L257" s="106">
        <f>4449-1</f>
        <v>4448</v>
      </c>
      <c r="M257" s="106">
        <v>4352</v>
      </c>
      <c r="N257" s="106">
        <v>4255</v>
      </c>
      <c r="O257" s="106">
        <v>6280</v>
      </c>
      <c r="P257" s="106">
        <v>6160</v>
      </c>
      <c r="Q257" s="106">
        <v>6045</v>
      </c>
      <c r="R257" s="106">
        <v>5931</v>
      </c>
      <c r="S257" s="106">
        <v>6283</v>
      </c>
      <c r="T257" s="106">
        <v>6168</v>
      </c>
      <c r="V257" s="117" t="s">
        <v>119</v>
      </c>
      <c r="W257" s="106">
        <v>6054</v>
      </c>
      <c r="X257" s="106">
        <f>5939+1</f>
        <v>5940</v>
      </c>
      <c r="Y257" s="106">
        <v>5591</v>
      </c>
      <c r="Z257" s="106">
        <v>5244</v>
      </c>
      <c r="AA257" s="106">
        <v>5129</v>
      </c>
      <c r="AB257" s="87">
        <v>5014</v>
      </c>
    </row>
    <row r="258" spans="1:28" ht="16.2" thickBot="1">
      <c r="B258" s="117" t="s">
        <v>153</v>
      </c>
      <c r="C258" s="106">
        <v>76835</v>
      </c>
      <c r="D258" s="106">
        <v>69535</v>
      </c>
      <c r="E258" s="106">
        <f>68306-2</f>
        <v>68304</v>
      </c>
      <c r="F258" s="106">
        <v>67062</v>
      </c>
      <c r="G258" s="106">
        <v>65392</v>
      </c>
      <c r="H258" s="106">
        <v>59169</v>
      </c>
      <c r="I258" s="106">
        <v>58152</v>
      </c>
      <c r="J258" s="106">
        <v>56908</v>
      </c>
      <c r="K258" s="106">
        <v>55380</v>
      </c>
      <c r="L258" s="106">
        <v>52257</v>
      </c>
      <c r="M258" s="106">
        <v>50120</v>
      </c>
      <c r="N258" s="106">
        <f>50116-2</f>
        <v>50114</v>
      </c>
      <c r="O258" s="106">
        <v>50310</v>
      </c>
      <c r="P258" s="106">
        <v>49074</v>
      </c>
      <c r="Q258" s="106">
        <v>48273</v>
      </c>
      <c r="R258" s="106">
        <v>47477</v>
      </c>
      <c r="S258" s="106">
        <v>53309</v>
      </c>
      <c r="T258" s="106">
        <v>23615</v>
      </c>
      <c r="V258" s="117" t="s">
        <v>153</v>
      </c>
      <c r="W258" s="106">
        <v>22337</v>
      </c>
      <c r="X258" s="106">
        <v>23191</v>
      </c>
      <c r="Y258" s="106">
        <v>20059</v>
      </c>
      <c r="Z258" s="106">
        <v>26703</v>
      </c>
      <c r="AA258" s="106">
        <v>24755</v>
      </c>
      <c r="AB258" s="87">
        <v>23060</v>
      </c>
    </row>
    <row r="259" spans="1:28" ht="15.6" thickBot="1">
      <c r="B259" s="115" t="s">
        <v>124</v>
      </c>
      <c r="C259" s="120">
        <f t="shared" ref="C259:N259" si="65">SUM(C252:C258)</f>
        <v>596627</v>
      </c>
      <c r="D259" s="120">
        <f t="shared" si="65"/>
        <v>584358</v>
      </c>
      <c r="E259" s="120">
        <f t="shared" si="65"/>
        <v>568250</v>
      </c>
      <c r="F259" s="120">
        <f t="shared" si="65"/>
        <v>550886</v>
      </c>
      <c r="G259" s="120">
        <f t="shared" si="65"/>
        <v>533777</v>
      </c>
      <c r="H259" s="120">
        <f t="shared" si="65"/>
        <v>504668</v>
      </c>
      <c r="I259" s="120">
        <f t="shared" si="65"/>
        <v>573985</v>
      </c>
      <c r="J259" s="120">
        <f t="shared" si="65"/>
        <v>574078</v>
      </c>
      <c r="K259" s="120">
        <f t="shared" si="65"/>
        <v>575091</v>
      </c>
      <c r="L259" s="120">
        <f t="shared" si="65"/>
        <v>571242</v>
      </c>
      <c r="M259" s="120">
        <f t="shared" si="65"/>
        <v>570722</v>
      </c>
      <c r="N259" s="120">
        <f t="shared" si="65"/>
        <v>572292</v>
      </c>
      <c r="O259" s="120">
        <v>577217</v>
      </c>
      <c r="P259" s="120">
        <v>496091</v>
      </c>
      <c r="Q259" s="120">
        <v>497267</v>
      </c>
      <c r="R259" s="120">
        <v>490773</v>
      </c>
      <c r="S259" s="120">
        <v>488278</v>
      </c>
      <c r="T259" s="120">
        <f t="shared" ref="T259" si="66">SUM(T252:T258)</f>
        <v>492191</v>
      </c>
      <c r="V259" s="115" t="s">
        <v>124</v>
      </c>
      <c r="W259" s="120">
        <f t="shared" ref="W259:X259" si="67">SUM(W252:W258)</f>
        <v>493646</v>
      </c>
      <c r="X259" s="120">
        <f t="shared" si="67"/>
        <v>494902</v>
      </c>
      <c r="Y259" s="120">
        <v>686831</v>
      </c>
      <c r="Z259" s="120">
        <v>659048</v>
      </c>
      <c r="AA259" s="120">
        <f t="shared" ref="AA259:AB259" si="68">SUM(AA252:AA258)</f>
        <v>658427</v>
      </c>
      <c r="AB259" s="120">
        <f t="shared" si="68"/>
        <v>657077</v>
      </c>
    </row>
    <row r="260" spans="1:28" ht="15.6" thickBot="1">
      <c r="B260" s="121" t="s">
        <v>125</v>
      </c>
      <c r="C260" s="122">
        <f t="shared" ref="C260:N260" si="69">+C250+C259</f>
        <v>686645</v>
      </c>
      <c r="D260" s="122">
        <f t="shared" si="69"/>
        <v>656208</v>
      </c>
      <c r="E260" s="122">
        <f t="shared" si="69"/>
        <v>721606</v>
      </c>
      <c r="F260" s="122">
        <f t="shared" si="69"/>
        <v>671385</v>
      </c>
      <c r="G260" s="122">
        <f t="shared" si="69"/>
        <v>672229</v>
      </c>
      <c r="H260" s="122">
        <f t="shared" si="69"/>
        <v>644642</v>
      </c>
      <c r="I260" s="122">
        <f t="shared" si="69"/>
        <v>745906</v>
      </c>
      <c r="J260" s="122">
        <f t="shared" si="69"/>
        <v>652159</v>
      </c>
      <c r="K260" s="122">
        <f t="shared" si="69"/>
        <v>656784</v>
      </c>
      <c r="L260" s="122">
        <f t="shared" si="69"/>
        <v>629171</v>
      </c>
      <c r="M260" s="122">
        <f t="shared" si="69"/>
        <v>753754</v>
      </c>
      <c r="N260" s="122">
        <f t="shared" si="69"/>
        <v>663489</v>
      </c>
      <c r="O260" s="122">
        <v>654073</v>
      </c>
      <c r="P260" s="122">
        <v>640550</v>
      </c>
      <c r="Q260" s="122">
        <v>744267</v>
      </c>
      <c r="R260" s="122">
        <v>749554</v>
      </c>
      <c r="S260" s="122">
        <v>703471</v>
      </c>
      <c r="T260" s="122">
        <f t="shared" ref="T260" si="70">+T250+T259</f>
        <v>580034</v>
      </c>
      <c r="V260" s="121" t="s">
        <v>125</v>
      </c>
      <c r="W260" s="122">
        <f t="shared" ref="W260:X260" si="71">+W250+W259</f>
        <v>706498</v>
      </c>
      <c r="X260" s="122">
        <f t="shared" si="71"/>
        <v>666715</v>
      </c>
      <c r="Y260" s="122">
        <v>799561</v>
      </c>
      <c r="Z260" s="122">
        <v>785995</v>
      </c>
      <c r="AA260" s="122">
        <f t="shared" ref="AA260:AB260" si="72">+AA250+AA259</f>
        <v>954315</v>
      </c>
      <c r="AB260" s="122">
        <f t="shared" si="72"/>
        <v>919491</v>
      </c>
    </row>
    <row r="261" spans="1:28" ht="15.6" thickBot="1">
      <c r="B261" s="123"/>
      <c r="C261" s="124"/>
      <c r="D261" s="124"/>
      <c r="E261" s="124"/>
      <c r="F261" s="124"/>
      <c r="G261" s="124"/>
      <c r="H261" s="124"/>
      <c r="I261" s="124"/>
      <c r="J261" s="124"/>
      <c r="K261" s="124"/>
      <c r="L261" s="124"/>
      <c r="M261" s="124"/>
      <c r="N261" s="124"/>
      <c r="O261" s="124"/>
      <c r="P261" s="124"/>
      <c r="Q261" s="124"/>
      <c r="R261" s="124"/>
      <c r="S261" s="124">
        <v>0</v>
      </c>
      <c r="T261" s="173"/>
      <c r="V261" s="123"/>
      <c r="W261" s="173"/>
      <c r="X261" s="173"/>
      <c r="Y261" s="173">
        <v>0</v>
      </c>
      <c r="Z261" s="173"/>
      <c r="AA261" s="173"/>
      <c r="AB261" s="173"/>
    </row>
    <row r="262" spans="1:28" ht="15.6" thickBot="1">
      <c r="B262" s="129" t="s">
        <v>126</v>
      </c>
      <c r="C262" s="128"/>
      <c r="D262" s="128"/>
      <c r="E262" s="128"/>
      <c r="F262" s="128"/>
      <c r="G262" s="128"/>
      <c r="H262" s="128"/>
      <c r="I262" s="128"/>
      <c r="J262" s="128"/>
      <c r="K262" s="128"/>
      <c r="L262" s="128"/>
      <c r="M262" s="128"/>
      <c r="N262" s="128"/>
      <c r="O262" s="128"/>
      <c r="P262" s="128"/>
      <c r="Q262" s="128"/>
      <c r="R262" s="128"/>
      <c r="S262" s="128"/>
      <c r="T262" s="178"/>
      <c r="V262" s="129" t="s">
        <v>126</v>
      </c>
      <c r="W262" s="178"/>
      <c r="X262" s="178"/>
      <c r="Y262" s="178"/>
      <c r="Z262" s="178"/>
      <c r="AA262" s="178"/>
      <c r="AB262" s="178"/>
    </row>
    <row r="263" spans="1:28" ht="16.2" thickBot="1">
      <c r="B263" s="117" t="s">
        <v>127</v>
      </c>
      <c r="C263" s="106">
        <v>180974</v>
      </c>
      <c r="D263" s="106">
        <v>180974</v>
      </c>
      <c r="E263" s="106">
        <v>180974</v>
      </c>
      <c r="F263" s="106">
        <v>180974</v>
      </c>
      <c r="G263" s="106">
        <v>180974</v>
      </c>
      <c r="H263" s="106">
        <v>180974</v>
      </c>
      <c r="I263" s="106">
        <v>180974</v>
      </c>
      <c r="J263" s="106">
        <v>180974</v>
      </c>
      <c r="K263" s="106">
        <v>180974</v>
      </c>
      <c r="L263" s="106">
        <v>180974</v>
      </c>
      <c r="M263" s="106">
        <v>180974</v>
      </c>
      <c r="N263" s="106">
        <v>180974</v>
      </c>
      <c r="O263" s="106">
        <v>180974</v>
      </c>
      <c r="P263" s="106">
        <v>180974</v>
      </c>
      <c r="Q263" s="106">
        <v>180974</v>
      </c>
      <c r="R263" s="106">
        <v>180974</v>
      </c>
      <c r="S263" s="106">
        <v>180974</v>
      </c>
      <c r="T263" s="106">
        <v>180974</v>
      </c>
      <c r="V263" s="117" t="s">
        <v>127</v>
      </c>
      <c r="W263" s="106">
        <v>180974</v>
      </c>
      <c r="X263" s="106">
        <v>180974</v>
      </c>
      <c r="Y263" s="106">
        <v>180974</v>
      </c>
      <c r="Z263" s="106">
        <v>180974</v>
      </c>
      <c r="AA263" s="106">
        <v>180974</v>
      </c>
      <c r="AB263" s="87">
        <v>180974</v>
      </c>
    </row>
    <row r="264" spans="1:28" ht="16.2" thickBot="1">
      <c r="B264" s="117" t="s">
        <v>128</v>
      </c>
      <c r="C264" s="106">
        <v>0</v>
      </c>
      <c r="D264" s="106">
        <v>0</v>
      </c>
      <c r="E264" s="106">
        <v>0</v>
      </c>
      <c r="F264" s="106">
        <v>0</v>
      </c>
      <c r="G264" s="106">
        <v>0</v>
      </c>
      <c r="H264" s="106">
        <v>0</v>
      </c>
      <c r="I264" s="106">
        <v>0</v>
      </c>
      <c r="J264" s="106">
        <v>0</v>
      </c>
      <c r="K264" s="106">
        <v>0</v>
      </c>
      <c r="L264" s="106">
        <v>0</v>
      </c>
      <c r="M264" s="106">
        <v>0</v>
      </c>
      <c r="N264" s="106">
        <v>0</v>
      </c>
      <c r="O264" s="106">
        <v>0</v>
      </c>
      <c r="P264" s="106"/>
      <c r="Q264" s="106"/>
      <c r="R264" s="106"/>
      <c r="S264" s="106">
        <v>0</v>
      </c>
      <c r="T264" s="106"/>
      <c r="V264" s="117" t="s">
        <v>128</v>
      </c>
      <c r="W264" s="106">
        <v>0</v>
      </c>
      <c r="X264" s="106"/>
      <c r="Y264" s="106">
        <v>0</v>
      </c>
      <c r="Z264" s="106" t="s">
        <v>1155</v>
      </c>
      <c r="AA264" s="106">
        <v>0</v>
      </c>
      <c r="AB264" s="87">
        <v>0</v>
      </c>
    </row>
    <row r="265" spans="1:28" ht="16.2" thickBot="1">
      <c r="B265" s="117" t="s">
        <v>129</v>
      </c>
      <c r="C265" s="106">
        <v>77575</v>
      </c>
      <c r="D265" s="106">
        <v>87483</v>
      </c>
      <c r="E265" s="106">
        <v>96404</v>
      </c>
      <c r="F265" s="106">
        <v>96404</v>
      </c>
      <c r="G265" s="106">
        <v>96404</v>
      </c>
      <c r="H265" s="106">
        <v>96404</v>
      </c>
      <c r="I265" s="106">
        <v>96404</v>
      </c>
      <c r="J265" s="106">
        <v>96404</v>
      </c>
      <c r="K265" s="106">
        <v>96404</v>
      </c>
      <c r="L265" s="106">
        <v>96404</v>
      </c>
      <c r="M265" s="106">
        <v>96404</v>
      </c>
      <c r="N265" s="106">
        <v>96404</v>
      </c>
      <c r="O265" s="106">
        <v>96404</v>
      </c>
      <c r="P265" s="106">
        <v>96404</v>
      </c>
      <c r="Q265" s="106">
        <v>96404</v>
      </c>
      <c r="R265" s="106">
        <v>96404</v>
      </c>
      <c r="S265" s="106">
        <v>96404</v>
      </c>
      <c r="T265" s="106">
        <v>96404</v>
      </c>
      <c r="V265" s="117" t="s">
        <v>129</v>
      </c>
      <c r="W265" s="106">
        <v>96404</v>
      </c>
      <c r="X265" s="106">
        <v>96404</v>
      </c>
      <c r="Y265" s="106">
        <v>96404</v>
      </c>
      <c r="Z265" s="106">
        <v>96404</v>
      </c>
      <c r="AA265" s="106">
        <v>96404</v>
      </c>
      <c r="AB265" s="87">
        <v>96404</v>
      </c>
    </row>
    <row r="266" spans="1:28" ht="16.2" thickBot="1">
      <c r="B266" s="117" t="s">
        <v>130</v>
      </c>
      <c r="C266" s="106">
        <v>281371</v>
      </c>
      <c r="D266" s="106">
        <v>281371</v>
      </c>
      <c r="E266" s="106">
        <v>281371</v>
      </c>
      <c r="F266" s="106">
        <v>281371</v>
      </c>
      <c r="G266" s="106">
        <v>281371</v>
      </c>
      <c r="H266" s="106">
        <v>278777</v>
      </c>
      <c r="I266" s="106">
        <v>278777</v>
      </c>
      <c r="J266" s="106">
        <v>278777</v>
      </c>
      <c r="K266" s="106">
        <v>278777</v>
      </c>
      <c r="L266" s="106">
        <v>278777</v>
      </c>
      <c r="M266" s="106">
        <v>278777</v>
      </c>
      <c r="N266" s="106">
        <v>278777</v>
      </c>
      <c r="O266" s="106">
        <v>278777</v>
      </c>
      <c r="P266" s="106">
        <v>278777</v>
      </c>
      <c r="Q266" s="106">
        <v>278777</v>
      </c>
      <c r="R266" s="106">
        <v>278775</v>
      </c>
      <c r="S266" s="106">
        <v>278775</v>
      </c>
      <c r="T266" s="106">
        <v>278775</v>
      </c>
      <c r="V266" s="117" t="s">
        <v>130</v>
      </c>
      <c r="W266" s="106">
        <v>278774</v>
      </c>
      <c r="X266" s="106">
        <v>278774</v>
      </c>
      <c r="Y266" s="106">
        <v>278775</v>
      </c>
      <c r="Z266" s="106">
        <v>219774</v>
      </c>
      <c r="AA266" s="106">
        <v>272719</v>
      </c>
      <c r="AB266" s="87">
        <v>272719</v>
      </c>
    </row>
    <row r="267" spans="1:28" ht="16.2" thickBot="1">
      <c r="B267" s="117" t="s">
        <v>131</v>
      </c>
      <c r="C267" s="106">
        <v>88762</v>
      </c>
      <c r="D267" s="106">
        <v>107978</v>
      </c>
      <c r="E267" s="106">
        <v>31116</v>
      </c>
      <c r="F267" s="106">
        <v>64014</v>
      </c>
      <c r="G267" s="106">
        <v>95999</v>
      </c>
      <c r="H267" s="106">
        <v>135784</v>
      </c>
      <c r="I267" s="106">
        <v>39650</v>
      </c>
      <c r="J267" s="106">
        <v>78611</v>
      </c>
      <c r="K267" s="106">
        <v>118117</v>
      </c>
      <c r="L267" s="106">
        <v>170619</v>
      </c>
      <c r="M267" s="106">
        <v>40236</v>
      </c>
      <c r="N267" s="106">
        <v>80872</v>
      </c>
      <c r="O267" s="106">
        <v>119388</v>
      </c>
      <c r="P267" s="106">
        <v>146814</v>
      </c>
      <c r="Q267" s="106">
        <v>46603</v>
      </c>
      <c r="R267" s="106">
        <v>91799</v>
      </c>
      <c r="S267" s="106">
        <v>138946</v>
      </c>
      <c r="T267" s="106">
        <v>184024</v>
      </c>
      <c r="V267" s="117" t="s">
        <v>131</v>
      </c>
      <c r="W267" s="106">
        <v>45805</v>
      </c>
      <c r="X267" s="106">
        <v>115669</v>
      </c>
      <c r="Y267" s="106">
        <v>166923</v>
      </c>
      <c r="Z267" s="106">
        <v>222945</v>
      </c>
      <c r="AA267" s="106">
        <v>54144</v>
      </c>
      <c r="AB267" s="87">
        <v>107111</v>
      </c>
    </row>
    <row r="268" spans="1:28" ht="16.2" thickBot="1">
      <c r="B268" s="117" t="s">
        <v>132</v>
      </c>
      <c r="C268" s="106">
        <v>81923</v>
      </c>
      <c r="D268" s="106">
        <v>74875</v>
      </c>
      <c r="E268" s="106">
        <v>55924</v>
      </c>
      <c r="F268" s="106">
        <v>67538</v>
      </c>
      <c r="G268" s="106">
        <v>69913</v>
      </c>
      <c r="H268" s="106">
        <v>100354</v>
      </c>
      <c r="I268" s="106">
        <v>90815</v>
      </c>
      <c r="J268" s="106">
        <v>91263</v>
      </c>
      <c r="K268" s="106">
        <v>112599</v>
      </c>
      <c r="L268" s="106">
        <v>96353</v>
      </c>
      <c r="M268" s="106">
        <v>169321</v>
      </c>
      <c r="N268" s="106">
        <v>142429</v>
      </c>
      <c r="O268" s="106">
        <v>151333</v>
      </c>
      <c r="P268" s="106">
        <v>113140</v>
      </c>
      <c r="Q268" s="106">
        <v>136426</v>
      </c>
      <c r="R268" s="106">
        <v>137628</v>
      </c>
      <c r="S268" s="106">
        <v>172217</v>
      </c>
      <c r="T268" s="106">
        <v>187405</v>
      </c>
      <c r="V268" s="117" t="s">
        <v>132</v>
      </c>
      <c r="W268" s="106">
        <v>165165</v>
      </c>
      <c r="X268" s="106">
        <v>194819</v>
      </c>
      <c r="Y268" s="106">
        <v>233235</v>
      </c>
      <c r="Z268" s="106">
        <v>282781</v>
      </c>
      <c r="AA268" s="106">
        <v>268707</v>
      </c>
      <c r="AB268" s="87">
        <v>232340</v>
      </c>
    </row>
    <row r="269" spans="1:28" ht="15.6" thickBot="1">
      <c r="B269" s="115" t="s">
        <v>135</v>
      </c>
      <c r="C269" s="120">
        <f t="shared" ref="C269:N269" si="73">SUM(C263:C268)</f>
        <v>710605</v>
      </c>
      <c r="D269" s="120">
        <f t="shared" si="73"/>
        <v>732681</v>
      </c>
      <c r="E269" s="120">
        <f t="shared" si="73"/>
        <v>645789</v>
      </c>
      <c r="F269" s="120">
        <f t="shared" si="73"/>
        <v>690301</v>
      </c>
      <c r="G269" s="120">
        <f t="shared" si="73"/>
        <v>724661</v>
      </c>
      <c r="H269" s="120">
        <f t="shared" si="73"/>
        <v>792293</v>
      </c>
      <c r="I269" s="120">
        <f t="shared" si="73"/>
        <v>686620</v>
      </c>
      <c r="J269" s="120">
        <f t="shared" si="73"/>
        <v>726029</v>
      </c>
      <c r="K269" s="120">
        <f t="shared" si="73"/>
        <v>786871</v>
      </c>
      <c r="L269" s="120">
        <f t="shared" si="73"/>
        <v>823127</v>
      </c>
      <c r="M269" s="120">
        <f t="shared" si="73"/>
        <v>765712</v>
      </c>
      <c r="N269" s="120">
        <f t="shared" si="73"/>
        <v>779456</v>
      </c>
      <c r="O269" s="120">
        <v>826876</v>
      </c>
      <c r="P269" s="120">
        <v>816109</v>
      </c>
      <c r="Q269" s="120">
        <v>739184</v>
      </c>
      <c r="R269" s="120">
        <v>785580</v>
      </c>
      <c r="S269" s="120">
        <v>867316</v>
      </c>
      <c r="T269" s="120">
        <f t="shared" ref="T269" si="74">SUM(T263:T268)</f>
        <v>927582</v>
      </c>
      <c r="V269" s="115" t="s">
        <v>135</v>
      </c>
      <c r="W269" s="120">
        <f t="shared" ref="W269:X269" si="75">SUM(W263:W268)</f>
        <v>767122</v>
      </c>
      <c r="X269" s="120">
        <f t="shared" si="75"/>
        <v>866640</v>
      </c>
      <c r="Y269" s="120">
        <v>956311</v>
      </c>
      <c r="Z269" s="120">
        <v>1002878</v>
      </c>
      <c r="AA269" s="120">
        <f t="shared" ref="AA269:AB269" si="76">SUM(AA263:AA268)</f>
        <v>872948</v>
      </c>
      <c r="AB269" s="120">
        <f t="shared" si="76"/>
        <v>889548</v>
      </c>
    </row>
    <row r="270" spans="1:28" ht="15.6" thickBot="1">
      <c r="A270" s="48" t="s">
        <v>137</v>
      </c>
      <c r="B270" s="130" t="s">
        <v>136</v>
      </c>
      <c r="C270" s="122">
        <f t="shared" ref="C270:N270" si="77">+C260+C269</f>
        <v>1397250</v>
      </c>
      <c r="D270" s="122">
        <f t="shared" si="77"/>
        <v>1388889</v>
      </c>
      <c r="E270" s="122">
        <f t="shared" si="77"/>
        <v>1367395</v>
      </c>
      <c r="F270" s="122">
        <f t="shared" si="77"/>
        <v>1361686</v>
      </c>
      <c r="G270" s="122">
        <f t="shared" si="77"/>
        <v>1396890</v>
      </c>
      <c r="H270" s="122">
        <f t="shared" si="77"/>
        <v>1436935</v>
      </c>
      <c r="I270" s="122">
        <f t="shared" si="77"/>
        <v>1432526</v>
      </c>
      <c r="J270" s="122">
        <f t="shared" si="77"/>
        <v>1378188</v>
      </c>
      <c r="K270" s="122">
        <f t="shared" si="77"/>
        <v>1443655</v>
      </c>
      <c r="L270" s="122">
        <f t="shared" si="77"/>
        <v>1452298</v>
      </c>
      <c r="M270" s="122">
        <f t="shared" si="77"/>
        <v>1519466</v>
      </c>
      <c r="N270" s="122">
        <f t="shared" si="77"/>
        <v>1442945</v>
      </c>
      <c r="O270" s="122">
        <v>1480949</v>
      </c>
      <c r="P270" s="122">
        <v>1456659</v>
      </c>
      <c r="Q270" s="122">
        <v>1483451</v>
      </c>
      <c r="R270" s="122">
        <v>1535134</v>
      </c>
      <c r="S270" s="122">
        <v>1570787</v>
      </c>
      <c r="T270" s="122">
        <f t="shared" ref="T270" si="78">+T260+T269</f>
        <v>1507616</v>
      </c>
      <c r="V270" s="130" t="s">
        <v>136</v>
      </c>
      <c r="W270" s="122">
        <f t="shared" ref="W270:X270" si="79">+W260+W269</f>
        <v>1473620</v>
      </c>
      <c r="X270" s="122">
        <f t="shared" si="79"/>
        <v>1533355</v>
      </c>
      <c r="Y270" s="122">
        <v>1755872</v>
      </c>
      <c r="Z270" s="122">
        <v>1788873</v>
      </c>
      <c r="AA270" s="122">
        <f t="shared" ref="AA270:AB270" si="80">+AA260+AA269</f>
        <v>1827263</v>
      </c>
      <c r="AB270" s="122">
        <f t="shared" si="80"/>
        <v>1809039</v>
      </c>
    </row>
    <row r="271" spans="1:28" ht="15.6">
      <c r="B271" s="67"/>
      <c r="C271" s="111">
        <f>+C238-C260-C269</f>
        <v>0</v>
      </c>
      <c r="D271" s="111">
        <f t="shared" ref="D271:N271" si="81">+D238-D260-D269</f>
        <v>0</v>
      </c>
      <c r="E271" s="111">
        <f t="shared" si="81"/>
        <v>0</v>
      </c>
      <c r="F271" s="111">
        <f t="shared" si="81"/>
        <v>0</v>
      </c>
      <c r="G271" s="111">
        <f t="shared" si="81"/>
        <v>0</v>
      </c>
      <c r="H271" s="111">
        <f t="shared" si="81"/>
        <v>0</v>
      </c>
      <c r="I271" s="111">
        <f t="shared" si="81"/>
        <v>0</v>
      </c>
      <c r="J271" s="111">
        <f t="shared" si="81"/>
        <v>0</v>
      </c>
      <c r="K271" s="111">
        <f t="shared" si="81"/>
        <v>0</v>
      </c>
      <c r="L271" s="111">
        <f t="shared" si="81"/>
        <v>0</v>
      </c>
      <c r="M271" s="111">
        <f t="shared" si="81"/>
        <v>0</v>
      </c>
      <c r="N271" s="111">
        <f t="shared" si="81"/>
        <v>0</v>
      </c>
      <c r="O271" s="67"/>
    </row>
    <row r="272" spans="1:28" ht="15.6">
      <c r="B272" s="67"/>
      <c r="C272" s="105">
        <f>+C206-C267</f>
        <v>0</v>
      </c>
      <c r="D272" s="105">
        <f>+D206-D267</f>
        <v>0</v>
      </c>
      <c r="E272" s="105">
        <f>+E206-E267</f>
        <v>0</v>
      </c>
      <c r="F272" s="105">
        <f>+F206+E206-F267</f>
        <v>0</v>
      </c>
      <c r="G272" s="105">
        <f>+G206+F206+E206-G267</f>
        <v>0</v>
      </c>
      <c r="H272" s="105">
        <f>+H206+G206+F206+E206-H267</f>
        <v>0</v>
      </c>
      <c r="I272" s="105">
        <f>+I206-I267</f>
        <v>0</v>
      </c>
      <c r="J272" s="105">
        <f>+J206+I206-J267</f>
        <v>0</v>
      </c>
      <c r="K272" s="105">
        <f>+K206+J206+I206-K267</f>
        <v>0</v>
      </c>
      <c r="L272" s="105">
        <f>+L206+K206+J206+I206-L267</f>
        <v>0</v>
      </c>
      <c r="M272" s="105">
        <f>+M206-M267</f>
        <v>0</v>
      </c>
      <c r="N272" s="105">
        <f>+N206+M206-N267</f>
        <v>0</v>
      </c>
      <c r="O272" s="105"/>
      <c r="P272" s="33"/>
    </row>
    <row r="273" spans="2:2" ht="15">
      <c r="B273" s="11" t="s">
        <v>177</v>
      </c>
    </row>
    <row r="274" spans="2:2">
      <c r="B274" s="1" t="s">
        <v>178</v>
      </c>
    </row>
  </sheetData>
  <phoneticPr fontId="194" type="noConversion"/>
  <hyperlinks>
    <hyperlink ref="A1" location="Contenido!A1" display="Volver al Contenido" xr:uid="{5FE28908-7A9C-430C-B313-87BF26660E81}"/>
    <hyperlink ref="B274" r:id="rId1" xr:uid="{76C76645-958D-47BA-9ED5-FAB9B217FAB2}"/>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63"/>
  <sheetViews>
    <sheetView showGridLines="0" zoomScale="90" zoomScaleNormal="90" workbookViewId="0">
      <pane xSplit="2" ySplit="7" topLeftCell="Y254" activePane="bottomRight" state="frozen"/>
      <selection pane="topRight" activeCell="C1" sqref="C1"/>
      <selection pane="bottomLeft" activeCell="A8" sqref="A8"/>
      <selection pane="bottomRight" activeCell="Z7" sqref="Z7:Z254"/>
    </sheetView>
  </sheetViews>
  <sheetFormatPr baseColWidth="10" defaultColWidth="11.44140625" defaultRowHeight="14.4"/>
  <cols>
    <col min="1" max="1" width="5.44140625" customWidth="1"/>
    <col min="2" max="2" width="66.88671875" customWidth="1"/>
    <col min="3" max="3" width="19" customWidth="1"/>
    <col min="4" max="4" width="17.5546875" customWidth="1"/>
    <col min="5" max="6" width="15.109375" customWidth="1"/>
    <col min="7" max="7" width="17.5546875" customWidth="1"/>
    <col min="8" max="8" width="17.109375" customWidth="1"/>
    <col min="9" max="9" width="15.109375" customWidth="1"/>
    <col min="10" max="10" width="17.109375" customWidth="1"/>
    <col min="11" max="11" width="16" customWidth="1"/>
    <col min="12" max="12" width="17.88671875" customWidth="1"/>
    <col min="13" max="13" width="16" customWidth="1"/>
    <col min="14" max="14" width="18.109375" customWidth="1"/>
    <col min="15" max="15" width="16.33203125" customWidth="1"/>
    <col min="16" max="16" width="16.5546875" style="36" customWidth="1"/>
    <col min="17" max="18" width="17" style="36" customWidth="1"/>
    <col min="19" max="19" width="17.44140625" style="36" bestFit="1" customWidth="1"/>
    <col min="20" max="20" width="17.109375" style="36" bestFit="1" customWidth="1"/>
    <col min="21" max="23" width="17.44140625" style="36" bestFit="1" customWidth="1"/>
    <col min="24" max="26" width="16.5546875" style="36" bestFit="1" customWidth="1"/>
    <col min="27" max="27" width="11.44140625" style="36"/>
  </cols>
  <sheetData>
    <row r="1" spans="1:26">
      <c r="A1" s="1" t="s">
        <v>37</v>
      </c>
    </row>
    <row r="3" spans="1:26" ht="15">
      <c r="B3" s="11" t="s">
        <v>179</v>
      </c>
      <c r="P3" s="59"/>
      <c r="Q3" s="59"/>
      <c r="R3" s="59"/>
      <c r="S3" s="59"/>
      <c r="T3" s="59"/>
      <c r="U3" s="59"/>
      <c r="V3" s="59"/>
      <c r="W3" s="59"/>
      <c r="X3" s="59"/>
      <c r="Y3" s="59"/>
      <c r="Z3" s="59"/>
    </row>
    <row r="4" spans="1:26" ht="15">
      <c r="B4" s="13" t="s">
        <v>180</v>
      </c>
    </row>
    <row r="6" spans="1:26">
      <c r="B6" s="772"/>
      <c r="C6" s="244" t="s">
        <v>181</v>
      </c>
      <c r="D6" s="244"/>
      <c r="E6" s="244"/>
      <c r="F6" s="244"/>
      <c r="G6" s="244"/>
      <c r="H6" s="244"/>
      <c r="I6" s="244"/>
      <c r="J6" s="244"/>
      <c r="K6" s="244"/>
      <c r="L6" s="443"/>
      <c r="M6" s="244"/>
      <c r="N6" s="244"/>
      <c r="O6" s="244"/>
      <c r="P6" s="444"/>
      <c r="Q6" s="444"/>
      <c r="R6" s="444"/>
      <c r="S6" s="444"/>
      <c r="T6" s="444"/>
      <c r="U6" s="444"/>
      <c r="V6" s="444"/>
      <c r="W6" s="444"/>
      <c r="X6" s="444"/>
      <c r="Y6" s="444"/>
      <c r="Z6" s="444"/>
    </row>
    <row r="7" spans="1:26">
      <c r="B7" s="772"/>
      <c r="C7" s="221">
        <v>2016</v>
      </c>
      <c r="D7" s="49">
        <v>2017</v>
      </c>
      <c r="E7" s="49" t="s">
        <v>182</v>
      </c>
      <c r="F7" s="49" t="s">
        <v>183</v>
      </c>
      <c r="G7" s="49" t="s">
        <v>184</v>
      </c>
      <c r="H7" s="49" t="s">
        <v>185</v>
      </c>
      <c r="I7" s="49" t="s">
        <v>186</v>
      </c>
      <c r="J7" s="49" t="s">
        <v>187</v>
      </c>
      <c r="K7" s="49" t="s">
        <v>188</v>
      </c>
      <c r="L7" s="340" t="s">
        <v>189</v>
      </c>
      <c r="M7" s="49" t="s">
        <v>190</v>
      </c>
      <c r="N7" s="49" t="s">
        <v>191</v>
      </c>
      <c r="O7" s="49" t="s">
        <v>192</v>
      </c>
      <c r="P7" s="449" t="s">
        <v>193</v>
      </c>
      <c r="Q7" s="449" t="s">
        <v>194</v>
      </c>
      <c r="R7" s="449" t="s">
        <v>195</v>
      </c>
      <c r="S7" s="449" t="s">
        <v>196</v>
      </c>
      <c r="T7" s="449" t="s">
        <v>197</v>
      </c>
      <c r="U7" s="449" t="s">
        <v>198</v>
      </c>
      <c r="V7" s="449" t="s">
        <v>199</v>
      </c>
      <c r="W7" s="449" t="s">
        <v>200</v>
      </c>
      <c r="X7" s="449" t="s">
        <v>1153</v>
      </c>
      <c r="Y7" s="449" t="s">
        <v>1168</v>
      </c>
      <c r="Z7" s="449" t="s">
        <v>1208</v>
      </c>
    </row>
    <row r="8" spans="1:26">
      <c r="B8" s="38" t="s">
        <v>201</v>
      </c>
      <c r="C8" s="50">
        <v>8774335.9359499998</v>
      </c>
      <c r="D8" s="50">
        <v>3050501.9190743743</v>
      </c>
      <c r="E8" s="50">
        <v>627253</v>
      </c>
      <c r="F8" s="50">
        <v>665797</v>
      </c>
      <c r="G8" s="50">
        <v>1290219</v>
      </c>
      <c r="H8" s="50">
        <v>1108302</v>
      </c>
      <c r="I8" s="50">
        <v>846080</v>
      </c>
      <c r="J8" s="50">
        <v>1094524</v>
      </c>
      <c r="K8" s="50">
        <f t="shared" ref="K8:Q8" si="0">SUM(K9:K13)</f>
        <v>855963</v>
      </c>
      <c r="L8" s="259">
        <f t="shared" si="0"/>
        <v>1018898</v>
      </c>
      <c r="M8" s="50">
        <f t="shared" si="0"/>
        <v>979128</v>
      </c>
      <c r="N8" s="50">
        <f t="shared" si="0"/>
        <v>1723910</v>
      </c>
      <c r="O8" s="50">
        <f t="shared" si="0"/>
        <v>1204440</v>
      </c>
      <c r="P8" s="257">
        <f t="shared" si="0"/>
        <v>382214</v>
      </c>
      <c r="Q8" s="257">
        <f t="shared" si="0"/>
        <v>1260391</v>
      </c>
      <c r="R8" s="257">
        <v>1703349.0490000001</v>
      </c>
      <c r="S8" s="234">
        <f>SUM(S9:S13)</f>
        <v>1708800.3470000001</v>
      </c>
      <c r="T8" s="234">
        <f t="shared" ref="T8" si="1">SUM(T9:T13)</f>
        <v>1663140.7660000003</v>
      </c>
      <c r="U8" s="234">
        <v>1537177</v>
      </c>
      <c r="V8" s="234">
        <v>1895817.2849399999</v>
      </c>
      <c r="W8" s="234">
        <v>1394430.5092500001</v>
      </c>
      <c r="X8" s="234">
        <v>1437634.9290499999</v>
      </c>
      <c r="Y8" s="234">
        <f t="shared" ref="Y8" si="2">SUM(Y9:Y13)</f>
        <v>1767304.0829</v>
      </c>
      <c r="Z8" s="651">
        <v>1647767.5502899999</v>
      </c>
    </row>
    <row r="9" spans="1:26">
      <c r="B9" s="38" t="s">
        <v>202</v>
      </c>
      <c r="C9" s="50">
        <v>171901.93595000001</v>
      </c>
      <c r="D9" s="50">
        <v>247126</v>
      </c>
      <c r="E9" s="50">
        <v>80136</v>
      </c>
      <c r="F9" s="50">
        <v>113491</v>
      </c>
      <c r="G9" s="50">
        <v>80464</v>
      </c>
      <c r="H9" s="50">
        <v>113024</v>
      </c>
      <c r="I9" s="50">
        <v>72374</v>
      </c>
      <c r="J9" s="50">
        <v>145664</v>
      </c>
      <c r="K9" s="50">
        <v>178632</v>
      </c>
      <c r="L9" s="259">
        <v>411855</v>
      </c>
      <c r="M9" s="50">
        <v>193571</v>
      </c>
      <c r="N9" s="50">
        <v>198081</v>
      </c>
      <c r="O9" s="50">
        <v>207091</v>
      </c>
      <c r="P9" s="257">
        <v>583719</v>
      </c>
      <c r="Q9" s="257">
        <v>235645</v>
      </c>
      <c r="R9" s="257">
        <v>262225</v>
      </c>
      <c r="S9" s="234">
        <v>340255</v>
      </c>
      <c r="T9" s="234">
        <v>312113</v>
      </c>
      <c r="U9" s="234">
        <v>397080</v>
      </c>
      <c r="V9" s="234">
        <v>523797</v>
      </c>
      <c r="W9" s="234">
        <v>518422</v>
      </c>
      <c r="X9" s="234">
        <v>511038</v>
      </c>
      <c r="Y9" s="234">
        <v>505302</v>
      </c>
      <c r="Z9" s="234">
        <v>519328.99999999994</v>
      </c>
    </row>
    <row r="10" spans="1:26">
      <c r="B10" s="38" t="s">
        <v>203</v>
      </c>
      <c r="C10" s="50">
        <v>835786</v>
      </c>
      <c r="D10" s="50">
        <v>880901</v>
      </c>
      <c r="E10" s="50">
        <v>235019</v>
      </c>
      <c r="F10" s="50">
        <v>242854</v>
      </c>
      <c r="G10" s="50">
        <v>276953</v>
      </c>
      <c r="H10" s="50">
        <v>287708</v>
      </c>
      <c r="I10" s="50">
        <v>282515</v>
      </c>
      <c r="J10" s="50">
        <v>277434</v>
      </c>
      <c r="K10" s="50">
        <v>250903</v>
      </c>
      <c r="L10" s="259">
        <v>297668</v>
      </c>
      <c r="M10" s="50">
        <v>297169</v>
      </c>
      <c r="N10" s="50">
        <v>170126</v>
      </c>
      <c r="O10" s="50">
        <v>271689</v>
      </c>
      <c r="P10" s="257">
        <v>332142</v>
      </c>
      <c r="Q10" s="257">
        <v>318120</v>
      </c>
      <c r="R10" s="257">
        <v>172417.00099999999</v>
      </c>
      <c r="S10" s="234">
        <v>358544.696</v>
      </c>
      <c r="T10" s="234">
        <v>280957.07999999996</v>
      </c>
      <c r="U10" s="234">
        <v>293705</v>
      </c>
      <c r="V10" s="234">
        <v>343379</v>
      </c>
      <c r="W10" s="234">
        <v>420578</v>
      </c>
      <c r="X10" s="234">
        <v>374821</v>
      </c>
      <c r="Y10" s="234">
        <v>346499</v>
      </c>
      <c r="Z10" s="234">
        <v>337137</v>
      </c>
    </row>
    <row r="11" spans="1:26">
      <c r="B11" s="38" t="s">
        <v>204</v>
      </c>
      <c r="C11" s="50"/>
      <c r="D11" s="50"/>
      <c r="E11" s="50"/>
      <c r="F11" s="50"/>
      <c r="G11" s="50"/>
      <c r="H11" s="50"/>
      <c r="I11" s="50"/>
      <c r="J11" s="50"/>
      <c r="K11" s="50"/>
      <c r="L11" s="259">
        <v>464490</v>
      </c>
      <c r="M11" s="50"/>
      <c r="N11" s="50"/>
      <c r="O11" s="50"/>
      <c r="P11" s="257">
        <v>152998</v>
      </c>
      <c r="Q11" s="257">
        <v>20922</v>
      </c>
      <c r="R11" s="257">
        <v>62233</v>
      </c>
      <c r="S11" s="234">
        <v>21169</v>
      </c>
      <c r="T11" s="234">
        <v>37862</v>
      </c>
      <c r="U11" s="234">
        <v>3914</v>
      </c>
      <c r="V11" s="234">
        <v>13030</v>
      </c>
      <c r="W11" s="234">
        <v>61447</v>
      </c>
      <c r="X11" s="234">
        <v>-54372</v>
      </c>
      <c r="Y11" s="234">
        <v>39076</v>
      </c>
      <c r="Z11" s="234">
        <v>12948</v>
      </c>
    </row>
    <row r="12" spans="1:26">
      <c r="B12" s="38" t="s">
        <v>205</v>
      </c>
      <c r="C12" s="50">
        <v>7743248</v>
      </c>
      <c r="D12" s="50">
        <v>1896406</v>
      </c>
      <c r="E12" s="50">
        <v>305366</v>
      </c>
      <c r="F12" s="50">
        <v>302657</v>
      </c>
      <c r="G12" s="50">
        <v>926265</v>
      </c>
      <c r="H12" s="50">
        <v>700729</v>
      </c>
      <c r="I12" s="50">
        <v>484169</v>
      </c>
      <c r="J12" s="50">
        <v>664271</v>
      </c>
      <c r="K12" s="50">
        <v>416548</v>
      </c>
      <c r="L12" s="259">
        <v>-162906</v>
      </c>
      <c r="M12" s="50">
        <v>480688</v>
      </c>
      <c r="N12" s="50">
        <v>1348221</v>
      </c>
      <c r="O12" s="50">
        <v>713957</v>
      </c>
      <c r="P12" s="257">
        <v>-694981</v>
      </c>
      <c r="Q12" s="257">
        <v>679010</v>
      </c>
      <c r="R12" s="257">
        <v>1187403.048</v>
      </c>
      <c r="S12" s="234">
        <v>977017.65099999995</v>
      </c>
      <c r="T12" s="234">
        <v>1024225.6860000002</v>
      </c>
      <c r="U12" s="234">
        <v>839064</v>
      </c>
      <c r="V12" s="234">
        <v>1010608</v>
      </c>
      <c r="W12" s="234">
        <v>385756</v>
      </c>
      <c r="X12" s="234">
        <v>598825</v>
      </c>
      <c r="Y12" s="234">
        <v>867430</v>
      </c>
      <c r="Z12" s="234">
        <v>770323</v>
      </c>
    </row>
    <row r="13" spans="1:26">
      <c r="B13" s="38" t="s">
        <v>206</v>
      </c>
      <c r="C13" s="50">
        <v>23400</v>
      </c>
      <c r="D13" s="50">
        <v>26068</v>
      </c>
      <c r="E13" s="50">
        <v>6732</v>
      </c>
      <c r="F13" s="50">
        <v>6795</v>
      </c>
      <c r="G13" s="50">
        <v>6537</v>
      </c>
      <c r="H13" s="50">
        <v>6841</v>
      </c>
      <c r="I13" s="50">
        <v>7022</v>
      </c>
      <c r="J13" s="50">
        <v>7155</v>
      </c>
      <c r="K13" s="50">
        <v>9880</v>
      </c>
      <c r="L13" s="259">
        <v>7791</v>
      </c>
      <c r="M13" s="50">
        <v>7700</v>
      </c>
      <c r="N13" s="50">
        <v>7482</v>
      </c>
      <c r="O13" s="50">
        <v>11703</v>
      </c>
      <c r="P13" s="257">
        <v>8336</v>
      </c>
      <c r="Q13" s="257">
        <v>6694</v>
      </c>
      <c r="R13" s="257">
        <v>19071</v>
      </c>
      <c r="S13" s="234">
        <v>11814</v>
      </c>
      <c r="T13" s="234">
        <v>7983</v>
      </c>
      <c r="U13" s="234">
        <v>3414</v>
      </c>
      <c r="V13" s="234">
        <v>5003.2849400000014</v>
      </c>
      <c r="W13" s="234">
        <v>8227.5092500000028</v>
      </c>
      <c r="X13" s="234">
        <v>7322.9290500000025</v>
      </c>
      <c r="Y13" s="234">
        <v>8997.0828999999976</v>
      </c>
      <c r="Z13" s="234">
        <v>8030.5502899999992</v>
      </c>
    </row>
    <row r="14" spans="1:26">
      <c r="B14" s="222" t="s">
        <v>207</v>
      </c>
      <c r="C14" s="50">
        <v>-988720</v>
      </c>
      <c r="D14" s="50">
        <v>-349308</v>
      </c>
      <c r="E14" s="50">
        <v>-80646</v>
      </c>
      <c r="F14" s="50">
        <v>-85196</v>
      </c>
      <c r="G14" s="50">
        <v>-154868</v>
      </c>
      <c r="H14" s="50">
        <v>-136874</v>
      </c>
      <c r="I14" s="50">
        <v>-113784</v>
      </c>
      <c r="J14" s="50">
        <v>-134732</v>
      </c>
      <c r="K14" s="50">
        <v>-119137</v>
      </c>
      <c r="L14" s="259">
        <v>-115950</v>
      </c>
      <c r="M14" s="257">
        <v>-127001</v>
      </c>
      <c r="N14" s="50">
        <v>-205839</v>
      </c>
      <c r="O14" s="50">
        <v>-132865</v>
      </c>
      <c r="P14" s="257">
        <v>-80936</v>
      </c>
      <c r="Q14" s="257">
        <v>-172373</v>
      </c>
      <c r="R14" s="257">
        <v>-192213.75200000001</v>
      </c>
      <c r="S14" s="234">
        <v>-211134.46899999998</v>
      </c>
      <c r="T14" s="234">
        <v>-225830.00799999997</v>
      </c>
      <c r="U14" s="234">
        <v>-177116.17366999999</v>
      </c>
      <c r="V14" s="234">
        <v>-229784</v>
      </c>
      <c r="W14" s="234">
        <v>-201743</v>
      </c>
      <c r="X14" s="234">
        <v>-205847</v>
      </c>
      <c r="Y14" s="234">
        <v>-196483.17366999999</v>
      </c>
      <c r="Z14" s="234">
        <v>-188450</v>
      </c>
    </row>
    <row r="15" spans="1:26">
      <c r="B15" s="223" t="s">
        <v>208</v>
      </c>
      <c r="C15" s="58">
        <f>SUM(C9:C14)</f>
        <v>7785615.9359499998</v>
      </c>
      <c r="D15" s="58">
        <f t="shared" ref="D15:Q15" si="3">SUM(D9:D14)</f>
        <v>2701193</v>
      </c>
      <c r="E15" s="58">
        <f t="shared" si="3"/>
        <v>546607</v>
      </c>
      <c r="F15" s="58">
        <f t="shared" si="3"/>
        <v>580601</v>
      </c>
      <c r="G15" s="58">
        <f t="shared" si="3"/>
        <v>1135351</v>
      </c>
      <c r="H15" s="58">
        <f t="shared" si="3"/>
        <v>971428</v>
      </c>
      <c r="I15" s="58">
        <f t="shared" si="3"/>
        <v>732296</v>
      </c>
      <c r="J15" s="58">
        <f t="shared" si="3"/>
        <v>959792</v>
      </c>
      <c r="K15" s="58">
        <f t="shared" si="3"/>
        <v>736826</v>
      </c>
      <c r="L15" s="445">
        <f t="shared" si="3"/>
        <v>902948</v>
      </c>
      <c r="M15" s="58">
        <f t="shared" si="3"/>
        <v>852127</v>
      </c>
      <c r="N15" s="58">
        <f t="shared" si="3"/>
        <v>1518071</v>
      </c>
      <c r="O15" s="58">
        <f t="shared" si="3"/>
        <v>1071575</v>
      </c>
      <c r="P15" s="460">
        <f t="shared" si="3"/>
        <v>301278</v>
      </c>
      <c r="Q15" s="460">
        <f t="shared" si="3"/>
        <v>1088018</v>
      </c>
      <c r="R15" s="460">
        <f>SUM(R9:R14)</f>
        <v>1511135.2969999998</v>
      </c>
      <c r="S15" s="460">
        <f>SUM(S9:S14)</f>
        <v>1497665.878</v>
      </c>
      <c r="T15" s="460">
        <f t="shared" ref="T15" si="4">SUM(T9:T14)</f>
        <v>1437310.7580000004</v>
      </c>
      <c r="U15" s="460">
        <v>1360060.8263300001</v>
      </c>
      <c r="V15" s="460">
        <v>1666033.2849399999</v>
      </c>
      <c r="W15" s="460">
        <v>1192687.5092500001</v>
      </c>
      <c r="X15" s="460">
        <v>1231787.9290499999</v>
      </c>
      <c r="Y15" s="460">
        <f t="shared" ref="Y15" si="5">SUM(Y9:Y14)</f>
        <v>1570820.9092300001</v>
      </c>
      <c r="Z15" s="460">
        <v>1459317.5502899999</v>
      </c>
    </row>
    <row r="16" spans="1:26">
      <c r="B16" s="222" t="s">
        <v>209</v>
      </c>
      <c r="C16" s="50">
        <f>SUM(C17:C21)</f>
        <v>-448802</v>
      </c>
      <c r="D16" s="50">
        <f t="shared" ref="D16:O16" si="6">SUM(D17:D21)</f>
        <v>-723671.99031999998</v>
      </c>
      <c r="E16" s="50">
        <f t="shared" si="6"/>
        <v>-190804</v>
      </c>
      <c r="F16" s="50">
        <f t="shared" si="6"/>
        <v>-229809</v>
      </c>
      <c r="G16" s="50">
        <f t="shared" si="6"/>
        <v>-196145</v>
      </c>
      <c r="H16" s="50">
        <f t="shared" si="6"/>
        <v>-275125</v>
      </c>
      <c r="I16" s="50">
        <f t="shared" si="6"/>
        <v>-202375</v>
      </c>
      <c r="J16" s="50">
        <f t="shared" si="6"/>
        <v>-309539</v>
      </c>
      <c r="K16" s="50">
        <f t="shared" si="6"/>
        <v>-325485</v>
      </c>
      <c r="L16" s="259">
        <f>SUM(L17:L22)</f>
        <v>-336604</v>
      </c>
      <c r="M16" s="257">
        <f t="shared" si="6"/>
        <v>-268335</v>
      </c>
      <c r="N16" s="50">
        <f t="shared" si="6"/>
        <v>-321436</v>
      </c>
      <c r="O16" s="50">
        <f t="shared" si="6"/>
        <v>-375755</v>
      </c>
      <c r="P16" s="257">
        <f>SUM(P17:P22)</f>
        <v>1053645</v>
      </c>
      <c r="Q16" s="257">
        <f t="shared" ref="Q16" si="7">SUM(Q17:Q22)</f>
        <v>-325176</v>
      </c>
      <c r="R16" s="257">
        <v>-375359.18078999995</v>
      </c>
      <c r="S16" s="234">
        <f>SUM(S17:S21)</f>
        <v>-452534.15589000005</v>
      </c>
      <c r="T16" s="234">
        <f>SUM(T17:T21)</f>
        <v>-483393.13125999994</v>
      </c>
      <c r="U16" s="234">
        <v>-525021.23652999999</v>
      </c>
      <c r="V16" s="234">
        <v>-636025.78725000005</v>
      </c>
      <c r="W16" s="234">
        <v>-594262.49117000005</v>
      </c>
      <c r="X16" s="234">
        <v>-708156.61001999991</v>
      </c>
      <c r="Y16" s="234">
        <v>-595397.29123999993</v>
      </c>
      <c r="Z16" s="234">
        <v>-564340.01974999998</v>
      </c>
    </row>
    <row r="17" spans="2:26">
      <c r="B17" s="38" t="s">
        <v>210</v>
      </c>
      <c r="C17" s="50">
        <v>-295948</v>
      </c>
      <c r="D17" s="50">
        <v>-315320</v>
      </c>
      <c r="E17" s="50">
        <v>-81033</v>
      </c>
      <c r="F17" s="50">
        <v>-84181</v>
      </c>
      <c r="G17" s="50">
        <v>-82624</v>
      </c>
      <c r="H17" s="50">
        <v>-87689</v>
      </c>
      <c r="I17" s="50">
        <v>-86137</v>
      </c>
      <c r="J17" s="50">
        <v>-89075</v>
      </c>
      <c r="K17" s="50">
        <v>-90124</v>
      </c>
      <c r="L17" s="259">
        <v>-82017</v>
      </c>
      <c r="M17" s="257">
        <v>-77351</v>
      </c>
      <c r="N17" s="50">
        <v>-80005</v>
      </c>
      <c r="O17" s="50">
        <v>-82944</v>
      </c>
      <c r="P17" s="257">
        <v>-100926</v>
      </c>
      <c r="Q17" s="257">
        <v>-95897</v>
      </c>
      <c r="R17" s="257">
        <v>-100754.545</v>
      </c>
      <c r="S17" s="234">
        <v>-103499.579</v>
      </c>
      <c r="T17" s="234">
        <v>-104536.06700000001</v>
      </c>
      <c r="U17" s="234">
        <v>-105695</v>
      </c>
      <c r="V17" s="234">
        <v>-105747.6075</v>
      </c>
      <c r="W17" s="234">
        <v>-102697.66043</v>
      </c>
      <c r="X17" s="234">
        <v>-133355</v>
      </c>
      <c r="Y17" s="234">
        <v>-103628.00611</v>
      </c>
      <c r="Z17" s="234">
        <v>-115727.99389</v>
      </c>
    </row>
    <row r="18" spans="2:26">
      <c r="B18" s="38" t="s">
        <v>211</v>
      </c>
      <c r="C18" s="50">
        <v>-86643</v>
      </c>
      <c r="D18" s="50">
        <v>-186476</v>
      </c>
      <c r="E18" s="50">
        <v>-60873</v>
      </c>
      <c r="F18" s="50">
        <v>-79603</v>
      </c>
      <c r="G18" s="50">
        <v>-40385</v>
      </c>
      <c r="H18" s="50">
        <v>-69667</v>
      </c>
      <c r="I18" s="50">
        <v>-47151</v>
      </c>
      <c r="J18" s="50">
        <v>-94527</v>
      </c>
      <c r="K18" s="50">
        <v>-119044</v>
      </c>
      <c r="L18" s="259">
        <v>-127574</v>
      </c>
      <c r="M18" s="257">
        <v>-103860</v>
      </c>
      <c r="N18" s="50">
        <v>-146909</v>
      </c>
      <c r="O18" s="50">
        <v>-100144</v>
      </c>
      <c r="P18" s="257">
        <v>-104994</v>
      </c>
      <c r="Q18" s="257">
        <v>-71440</v>
      </c>
      <c r="R18" s="257">
        <v>-110857</v>
      </c>
      <c r="S18" s="234">
        <v>-156998.30100000001</v>
      </c>
      <c r="T18" s="234">
        <v>-174871.647</v>
      </c>
      <c r="U18" s="234">
        <v>-234023</v>
      </c>
      <c r="V18" s="234">
        <v>-291728.32964999997</v>
      </c>
      <c r="W18" s="234">
        <v>-228064.67035000003</v>
      </c>
      <c r="X18" s="234">
        <v>-223398</v>
      </c>
      <c r="Y18" s="234">
        <v>-297990</v>
      </c>
      <c r="Z18" s="234">
        <v>-180973</v>
      </c>
    </row>
    <row r="19" spans="2:26">
      <c r="B19" s="38" t="s">
        <v>212</v>
      </c>
      <c r="C19" s="50"/>
      <c r="D19" s="50">
        <v>-173818.99032000001</v>
      </c>
      <c r="E19" s="50">
        <v>-37990</v>
      </c>
      <c r="F19" s="50">
        <v>-53464</v>
      </c>
      <c r="G19" s="50">
        <v>-59688</v>
      </c>
      <c r="H19" s="50">
        <v>-90811</v>
      </c>
      <c r="I19" s="50">
        <v>-48025</v>
      </c>
      <c r="J19" s="50">
        <v>-93523</v>
      </c>
      <c r="K19" s="50">
        <v>-92669</v>
      </c>
      <c r="L19" s="259">
        <v>-82129</v>
      </c>
      <c r="M19" s="257">
        <v>-63413</v>
      </c>
      <c r="N19" s="50">
        <v>-71989</v>
      </c>
      <c r="O19" s="50">
        <v>-121380</v>
      </c>
      <c r="P19" s="257">
        <v>-155094</v>
      </c>
      <c r="Q19" s="257">
        <v>-127786</v>
      </c>
      <c r="R19" s="257">
        <v>-127486.41661999999</v>
      </c>
      <c r="S19" s="234">
        <v>-130198.40789</v>
      </c>
      <c r="T19" s="234">
        <v>-159511.49603999997</v>
      </c>
      <c r="U19" s="234">
        <v>-136301</v>
      </c>
      <c r="V19" s="234">
        <v>-171009.84599</v>
      </c>
      <c r="W19" s="234">
        <v>-223895.94819999998</v>
      </c>
      <c r="X19" s="234">
        <v>-266598.92904999998</v>
      </c>
      <c r="Y19" s="234">
        <v>-156623.46434000001</v>
      </c>
      <c r="Z19" s="234">
        <v>-230598.16885000002</v>
      </c>
    </row>
    <row r="20" spans="2:26">
      <c r="B20" s="38" t="s">
        <v>213</v>
      </c>
      <c r="C20" s="50" t="s">
        <v>214</v>
      </c>
      <c r="D20" s="50">
        <v>-9626</v>
      </c>
      <c r="E20" s="50"/>
      <c r="F20" s="50">
        <v>-2232</v>
      </c>
      <c r="G20" s="50">
        <v>-2261</v>
      </c>
      <c r="H20" s="50">
        <v>-2486</v>
      </c>
      <c r="I20" s="50">
        <v>-5242</v>
      </c>
      <c r="J20" s="50">
        <v>-5160</v>
      </c>
      <c r="K20" s="50">
        <v>-5014</v>
      </c>
      <c r="L20" s="259">
        <v>-4547</v>
      </c>
      <c r="M20" s="257">
        <v>-4468</v>
      </c>
      <c r="N20" s="50">
        <v>-4697</v>
      </c>
      <c r="O20" s="50">
        <v>-5121</v>
      </c>
      <c r="P20" s="257">
        <v>-5505</v>
      </c>
      <c r="Q20" s="257">
        <v>-5119</v>
      </c>
      <c r="R20" s="257">
        <v>-4945.9470000000001</v>
      </c>
      <c r="S20" s="234">
        <v>-6214.5230000000001</v>
      </c>
      <c r="T20" s="234">
        <v>-6522.9110000000019</v>
      </c>
      <c r="U20" s="234">
        <v>-6921</v>
      </c>
      <c r="V20" s="234">
        <v>-6573</v>
      </c>
      <c r="W20" s="234">
        <v>-6774</v>
      </c>
      <c r="X20" s="234">
        <v>-7230</v>
      </c>
      <c r="Y20" s="234">
        <v>-6388</v>
      </c>
      <c r="Z20" s="234">
        <v>-6272</v>
      </c>
    </row>
    <row r="21" spans="2:26">
      <c r="B21" s="38" t="s">
        <v>215</v>
      </c>
      <c r="C21" s="50">
        <v>-66211</v>
      </c>
      <c r="D21" s="50">
        <v>-38431</v>
      </c>
      <c r="E21" s="50">
        <v>-10908</v>
      </c>
      <c r="F21" s="50">
        <v>-10329</v>
      </c>
      <c r="G21" s="50">
        <v>-11187</v>
      </c>
      <c r="H21" s="50">
        <v>-24472</v>
      </c>
      <c r="I21" s="50">
        <v>-15820</v>
      </c>
      <c r="J21" s="50">
        <v>-27254</v>
      </c>
      <c r="K21" s="50">
        <v>-18634</v>
      </c>
      <c r="L21" s="259">
        <v>-13630</v>
      </c>
      <c r="M21" s="257">
        <v>-19243</v>
      </c>
      <c r="N21" s="50">
        <v>-17836</v>
      </c>
      <c r="O21" s="50">
        <v>-66166</v>
      </c>
      <c r="P21" s="257">
        <v>-57458</v>
      </c>
      <c r="Q21" s="257">
        <v>-24934</v>
      </c>
      <c r="R21" s="257">
        <v>-31315.27217</v>
      </c>
      <c r="S21" s="234">
        <v>-55623.345000000001</v>
      </c>
      <c r="T21" s="234">
        <v>-37951.01021999988</v>
      </c>
      <c r="U21" s="234">
        <v>-42081.236529999995</v>
      </c>
      <c r="V21" s="234">
        <v>-60967.004110000096</v>
      </c>
      <c r="W21" s="234">
        <v>-32830.212190000108</v>
      </c>
      <c r="X21" s="234">
        <v>-77574.680969999987</v>
      </c>
      <c r="Y21" s="234">
        <v>-30767.820789999972</v>
      </c>
      <c r="Z21" s="234">
        <v>-30768.85700999992</v>
      </c>
    </row>
    <row r="22" spans="2:26">
      <c r="B22" s="222" t="s">
        <v>216</v>
      </c>
      <c r="C22" s="50"/>
      <c r="D22" s="50"/>
      <c r="E22" s="50"/>
      <c r="F22" s="50"/>
      <c r="G22" s="50"/>
      <c r="H22" s="50"/>
      <c r="I22" s="50"/>
      <c r="J22" s="50"/>
      <c r="K22" s="50"/>
      <c r="L22" s="259">
        <v>-26707</v>
      </c>
      <c r="M22" s="50"/>
      <c r="N22" s="50"/>
      <c r="O22" s="50"/>
      <c r="P22" s="257">
        <v>1477622</v>
      </c>
      <c r="Q22" s="257">
        <v>0</v>
      </c>
      <c r="R22" s="257">
        <v>53911</v>
      </c>
      <c r="S22" s="234">
        <v>-13067</v>
      </c>
      <c r="T22" s="234">
        <v>13930</v>
      </c>
      <c r="U22" s="234">
        <v>0</v>
      </c>
      <c r="V22" s="234">
        <v>0</v>
      </c>
      <c r="W22" s="234">
        <v>1825</v>
      </c>
      <c r="X22" s="234">
        <v>0</v>
      </c>
      <c r="Y22" s="234">
        <v>0</v>
      </c>
      <c r="Z22" s="234">
        <v>0</v>
      </c>
    </row>
    <row r="23" spans="2:26">
      <c r="B23" s="223" t="s">
        <v>217</v>
      </c>
      <c r="C23" s="58">
        <f>SUM(C15:C16)</f>
        <v>7336813.9359499998</v>
      </c>
      <c r="D23" s="58">
        <f>SUM(D15:D16)</f>
        <v>1977521.0096800001</v>
      </c>
      <c r="E23" s="58">
        <f t="shared" ref="E23:Q23" si="8">SUM(E15:E16)</f>
        <v>355803</v>
      </c>
      <c r="F23" s="58">
        <f t="shared" si="8"/>
        <v>350792</v>
      </c>
      <c r="G23" s="58">
        <f t="shared" si="8"/>
        <v>939206</v>
      </c>
      <c r="H23" s="58">
        <f t="shared" si="8"/>
        <v>696303</v>
      </c>
      <c r="I23" s="58">
        <f t="shared" si="8"/>
        <v>529921</v>
      </c>
      <c r="J23" s="58">
        <f t="shared" si="8"/>
        <v>650253</v>
      </c>
      <c r="K23" s="58">
        <f t="shared" si="8"/>
        <v>411341</v>
      </c>
      <c r="L23" s="445">
        <f t="shared" si="8"/>
        <v>566344</v>
      </c>
      <c r="M23" s="58">
        <f>SUM(M15:M16)</f>
        <v>583792</v>
      </c>
      <c r="N23" s="58">
        <f t="shared" si="8"/>
        <v>1196635</v>
      </c>
      <c r="O23" s="58">
        <f t="shared" si="8"/>
        <v>695820</v>
      </c>
      <c r="P23" s="460">
        <f>SUM(P15:P16)+P22</f>
        <v>2832545</v>
      </c>
      <c r="Q23" s="460">
        <f t="shared" si="8"/>
        <v>762842</v>
      </c>
      <c r="R23" s="460">
        <f>SUM(R15:R16)+R22</f>
        <v>1189687.1162099999</v>
      </c>
      <c r="S23" s="498">
        <f>((SUM(S15:S16)+S22))</f>
        <v>1032064.72211</v>
      </c>
      <c r="T23" s="498">
        <f>((SUM(T15:T16)+T22))</f>
        <v>967847.62674000044</v>
      </c>
      <c r="U23" s="498">
        <v>835039.58980000007</v>
      </c>
      <c r="V23" s="498">
        <v>1030007.4976899999</v>
      </c>
      <c r="W23" s="498">
        <v>600250.01808000007</v>
      </c>
      <c r="X23" s="498">
        <f>((SUM(X15:X16)+X22))</f>
        <v>523631.31903000001</v>
      </c>
      <c r="Y23" s="498">
        <f>((SUM(Y15:Y16)+Y22))</f>
        <v>975423.61799000017</v>
      </c>
      <c r="Z23" s="498">
        <v>894977.53053999995</v>
      </c>
    </row>
    <row r="24" spans="2:26">
      <c r="B24" s="223" t="s">
        <v>218</v>
      </c>
      <c r="C24" s="58">
        <f>SUM(C25:C29)</f>
        <v>-109929</v>
      </c>
      <c r="D24" s="58">
        <f t="shared" ref="D24:T24" si="9">SUM(D25:D29)</f>
        <v>-66216</v>
      </c>
      <c r="E24" s="58">
        <f t="shared" si="9"/>
        <v>-35293</v>
      </c>
      <c r="F24" s="58">
        <f t="shared" si="9"/>
        <v>-25692</v>
      </c>
      <c r="G24" s="58">
        <f t="shared" si="9"/>
        <v>-49331</v>
      </c>
      <c r="H24" s="58">
        <f t="shared" si="9"/>
        <v>-31898</v>
      </c>
      <c r="I24" s="58">
        <f t="shared" si="9"/>
        <v>-54876</v>
      </c>
      <c r="J24" s="58">
        <f t="shared" si="9"/>
        <v>-49160</v>
      </c>
      <c r="K24" s="58">
        <f t="shared" si="9"/>
        <v>-34802</v>
      </c>
      <c r="L24" s="445">
        <f t="shared" si="9"/>
        <v>-46421</v>
      </c>
      <c r="M24" s="58">
        <f t="shared" si="9"/>
        <v>-49311</v>
      </c>
      <c r="N24" s="58">
        <f t="shared" si="9"/>
        <v>-27825</v>
      </c>
      <c r="O24" s="58">
        <f t="shared" si="9"/>
        <v>-54557</v>
      </c>
      <c r="P24" s="460">
        <f t="shared" si="9"/>
        <v>-77482</v>
      </c>
      <c r="Q24" s="460">
        <f t="shared" si="9"/>
        <v>-115769</v>
      </c>
      <c r="R24" s="460">
        <f t="shared" si="9"/>
        <v>-138931.641</v>
      </c>
      <c r="S24" s="498">
        <f t="shared" si="9"/>
        <v>-160000.11098</v>
      </c>
      <c r="T24" s="498">
        <f t="shared" si="9"/>
        <v>-216292.45220000044</v>
      </c>
      <c r="U24" s="498">
        <v>-230290.90281</v>
      </c>
      <c r="V24" s="498">
        <v>-301284.34393999999</v>
      </c>
      <c r="W24" s="498">
        <v>-125492.9870525</v>
      </c>
      <c r="X24" s="498">
        <f t="shared" ref="X24:Y24" si="10">SUM(X25:X29)</f>
        <v>-155109.47558659088</v>
      </c>
      <c r="Y24" s="498">
        <f t="shared" si="10"/>
        <v>-207973.72174499999</v>
      </c>
      <c r="Z24" s="498">
        <v>-257947.52467700001</v>
      </c>
    </row>
    <row r="25" spans="2:26">
      <c r="B25" s="38" t="s">
        <v>219</v>
      </c>
      <c r="C25" s="50">
        <v>68032</v>
      </c>
      <c r="D25" s="50">
        <v>43907</v>
      </c>
      <c r="E25" s="50">
        <v>10929</v>
      </c>
      <c r="F25" s="50">
        <v>18347</v>
      </c>
      <c r="G25" s="50">
        <v>19329</v>
      </c>
      <c r="H25" s="50">
        <v>25950</v>
      </c>
      <c r="I25" s="50">
        <v>14183</v>
      </c>
      <c r="J25" s="50">
        <v>18601</v>
      </c>
      <c r="K25" s="50">
        <v>19911</v>
      </c>
      <c r="L25" s="259">
        <v>13050</v>
      </c>
      <c r="M25" s="257">
        <v>21983</v>
      </c>
      <c r="N25" s="50">
        <v>10446</v>
      </c>
      <c r="O25" s="50">
        <v>8539</v>
      </c>
      <c r="P25" s="257">
        <v>8279</v>
      </c>
      <c r="Q25" s="257">
        <v>9761</v>
      </c>
      <c r="R25" s="257">
        <v>15396.054</v>
      </c>
      <c r="S25" s="234">
        <v>15629.993020000002</v>
      </c>
      <c r="T25" s="234">
        <v>28320.839980000004</v>
      </c>
      <c r="U25" s="234">
        <v>25064</v>
      </c>
      <c r="V25" s="234">
        <v>35115.753249999994</v>
      </c>
      <c r="W25" s="234">
        <v>41059.012947499999</v>
      </c>
      <c r="X25" s="234">
        <v>46619.524413409119</v>
      </c>
      <c r="Y25" s="234">
        <v>32433.160775000004</v>
      </c>
      <c r="Z25" s="234">
        <v>42806.475322999999</v>
      </c>
    </row>
    <row r="26" spans="2:26">
      <c r="B26" s="38" t="s">
        <v>220</v>
      </c>
      <c r="C26" s="50">
        <v>-33902</v>
      </c>
      <c r="D26" s="50">
        <v>-31989</v>
      </c>
      <c r="E26" s="50">
        <v>-11252</v>
      </c>
      <c r="F26" s="50">
        <v>-6447</v>
      </c>
      <c r="G26" s="50">
        <v>-17390</v>
      </c>
      <c r="H26" s="50">
        <v>-10500</v>
      </c>
      <c r="I26" s="50">
        <v>-15154</v>
      </c>
      <c r="J26" s="50">
        <v>-17631</v>
      </c>
      <c r="K26" s="50">
        <v>-6225</v>
      </c>
      <c r="L26" s="259">
        <v>-7350</v>
      </c>
      <c r="M26" s="257">
        <v>-26159</v>
      </c>
      <c r="N26" s="50">
        <v>9032</v>
      </c>
      <c r="O26" s="50">
        <v>-15182</v>
      </c>
      <c r="P26" s="257">
        <v>-42922</v>
      </c>
      <c r="Q26" s="257">
        <v>-68131</v>
      </c>
      <c r="R26" s="257">
        <v>-71015</v>
      </c>
      <c r="S26" s="234">
        <v>-75402.178</v>
      </c>
      <c r="T26" s="234">
        <v>-118659.558</v>
      </c>
      <c r="U26" s="234">
        <v>-100618</v>
      </c>
      <c r="V26" s="234">
        <v>-168431</v>
      </c>
      <c r="W26" s="234">
        <v>6649</v>
      </c>
      <c r="X26" s="234">
        <v>-33260</v>
      </c>
      <c r="Y26" s="234">
        <v>-87851.882519999999</v>
      </c>
      <c r="Z26" s="234">
        <v>-101774.00000000001</v>
      </c>
    </row>
    <row r="27" spans="2:26">
      <c r="B27" s="38" t="s">
        <v>221</v>
      </c>
      <c r="C27" s="50" t="s">
        <v>214</v>
      </c>
      <c r="D27" s="50">
        <v>-10483</v>
      </c>
      <c r="E27" s="50"/>
      <c r="F27" s="50">
        <v>-580</v>
      </c>
      <c r="G27" s="50">
        <v>-599</v>
      </c>
      <c r="H27" s="50">
        <v>-554</v>
      </c>
      <c r="I27" s="50">
        <v>-205</v>
      </c>
      <c r="J27" s="50">
        <v>-622</v>
      </c>
      <c r="K27" s="50">
        <v>-626</v>
      </c>
      <c r="L27" s="259">
        <v>-667</v>
      </c>
      <c r="M27" s="257">
        <v>-418</v>
      </c>
      <c r="N27" s="50">
        <v>-656</v>
      </c>
      <c r="O27" s="50">
        <v>-613</v>
      </c>
      <c r="P27" s="257">
        <v>-622</v>
      </c>
      <c r="Q27" s="257">
        <v>908</v>
      </c>
      <c r="R27" s="257">
        <v>-109.729</v>
      </c>
      <c r="S27" s="234">
        <v>-23.454999999999984</v>
      </c>
      <c r="T27" s="234">
        <v>-155.99099999999999</v>
      </c>
      <c r="U27" s="234">
        <v>174</v>
      </c>
      <c r="V27" s="234">
        <v>-159</v>
      </c>
      <c r="W27" s="234">
        <v>-173</v>
      </c>
      <c r="X27" s="234">
        <v>-76</v>
      </c>
      <c r="Y27" s="234">
        <v>-113</v>
      </c>
      <c r="Z27" s="234">
        <v>-83</v>
      </c>
    </row>
    <row r="28" spans="2:26">
      <c r="B28" s="38" t="s">
        <v>222</v>
      </c>
      <c r="C28" s="50">
        <v>-143799</v>
      </c>
      <c r="D28" s="50">
        <v>-111504</v>
      </c>
      <c r="E28" s="50">
        <v>-32327</v>
      </c>
      <c r="F28" s="50">
        <v>-35052</v>
      </c>
      <c r="G28" s="50">
        <v>-40182</v>
      </c>
      <c r="H28" s="50">
        <v>-39491</v>
      </c>
      <c r="I28" s="50">
        <v>-36827</v>
      </c>
      <c r="J28" s="50">
        <v>-36411</v>
      </c>
      <c r="K28" s="50">
        <v>-37561</v>
      </c>
      <c r="L28" s="259">
        <v>-36423</v>
      </c>
      <c r="M28" s="257">
        <v>-37261</v>
      </c>
      <c r="N28" s="50">
        <v>-41114</v>
      </c>
      <c r="O28" s="50">
        <v>-46828</v>
      </c>
      <c r="P28" s="257">
        <v>-43062</v>
      </c>
      <c r="Q28" s="257">
        <v>-63097</v>
      </c>
      <c r="R28" s="257">
        <v>-80114.930999999997</v>
      </c>
      <c r="S28" s="234">
        <v>-99642.702999999994</v>
      </c>
      <c r="T28" s="234">
        <v>-124744</v>
      </c>
      <c r="U28" s="234">
        <v>-146339</v>
      </c>
      <c r="V28" s="234">
        <v>-169482</v>
      </c>
      <c r="W28" s="234">
        <v>-172124</v>
      </c>
      <c r="X28" s="234">
        <v>-179372</v>
      </c>
      <c r="Y28" s="234">
        <v>-175838</v>
      </c>
      <c r="Z28" s="234">
        <v>-197083</v>
      </c>
    </row>
    <row r="29" spans="2:26">
      <c r="B29" s="222" t="s">
        <v>215</v>
      </c>
      <c r="C29" s="50">
        <v>-260</v>
      </c>
      <c r="D29" s="50">
        <v>43853</v>
      </c>
      <c r="E29" s="50">
        <v>-2643</v>
      </c>
      <c r="F29" s="50">
        <v>-1960</v>
      </c>
      <c r="G29" s="50">
        <v>-10489</v>
      </c>
      <c r="H29" s="50">
        <v>-7303</v>
      </c>
      <c r="I29" s="50">
        <v>-16873</v>
      </c>
      <c r="J29" s="50">
        <v>-13097</v>
      </c>
      <c r="K29" s="50">
        <v>-10301</v>
      </c>
      <c r="L29" s="259">
        <v>-15031</v>
      </c>
      <c r="M29" s="257">
        <v>-7456</v>
      </c>
      <c r="N29" s="50">
        <v>-5533</v>
      </c>
      <c r="O29" s="50">
        <v>-473</v>
      </c>
      <c r="P29" s="257">
        <v>845</v>
      </c>
      <c r="Q29" s="257">
        <v>4790</v>
      </c>
      <c r="R29" s="257">
        <v>-3088.0349999999999</v>
      </c>
      <c r="S29" s="234">
        <v>-561.76799999999992</v>
      </c>
      <c r="T29" s="234">
        <v>-1053.743180000437</v>
      </c>
      <c r="U29" s="234">
        <v>-8571.9028099999996</v>
      </c>
      <c r="V29" s="234">
        <v>1671.9028099999978</v>
      </c>
      <c r="W29" s="234">
        <v>-903.99999999999636</v>
      </c>
      <c r="X29" s="234">
        <v>10978.999999999998</v>
      </c>
      <c r="Y29" s="234">
        <v>23396</v>
      </c>
      <c r="Z29" s="234">
        <v>-1813.9999999999991</v>
      </c>
    </row>
    <row r="30" spans="2:26">
      <c r="B30" s="223" t="s">
        <v>223</v>
      </c>
      <c r="C30" s="58">
        <f>SUM(C23:C24)</f>
        <v>7226884.9359499998</v>
      </c>
      <c r="D30" s="58">
        <f>SUM(D23:D24)</f>
        <v>1911305.0096800001</v>
      </c>
      <c r="E30" s="58">
        <f t="shared" ref="E30:T30" si="11">SUM(E23:E24)</f>
        <v>320510</v>
      </c>
      <c r="F30" s="58">
        <f t="shared" si="11"/>
        <v>325100</v>
      </c>
      <c r="G30" s="58">
        <f t="shared" si="11"/>
        <v>889875</v>
      </c>
      <c r="H30" s="58">
        <f t="shared" si="11"/>
        <v>664405</v>
      </c>
      <c r="I30" s="58">
        <f t="shared" si="11"/>
        <v>475045</v>
      </c>
      <c r="J30" s="58">
        <f t="shared" si="11"/>
        <v>601093</v>
      </c>
      <c r="K30" s="58">
        <f t="shared" si="11"/>
        <v>376539</v>
      </c>
      <c r="L30" s="445">
        <f t="shared" si="11"/>
        <v>519923</v>
      </c>
      <c r="M30" s="58">
        <f>SUM(M23:M24)</f>
        <v>534481</v>
      </c>
      <c r="N30" s="58">
        <f t="shared" si="11"/>
        <v>1168810</v>
      </c>
      <c r="O30" s="58">
        <f t="shared" si="11"/>
        <v>641263</v>
      </c>
      <c r="P30" s="460">
        <f t="shared" si="11"/>
        <v>2755063</v>
      </c>
      <c r="Q30" s="460">
        <f t="shared" si="11"/>
        <v>647073</v>
      </c>
      <c r="R30" s="460">
        <f t="shared" si="11"/>
        <v>1050755.4752099998</v>
      </c>
      <c r="S30" s="460">
        <f t="shared" si="11"/>
        <v>872064.61112999998</v>
      </c>
      <c r="T30" s="460">
        <f t="shared" si="11"/>
        <v>751555.17454000004</v>
      </c>
      <c r="U30" s="460">
        <v>604748.68699000007</v>
      </c>
      <c r="V30" s="460">
        <v>728723.15374999982</v>
      </c>
      <c r="W30" s="460">
        <v>474757.03102750005</v>
      </c>
      <c r="X30" s="460">
        <f t="shared" ref="X30:Y30" si="12">SUM(X23:X24)</f>
        <v>368521.84344340913</v>
      </c>
      <c r="Y30" s="460">
        <f t="shared" si="12"/>
        <v>767449.89624500019</v>
      </c>
      <c r="Z30" s="460">
        <v>637030.00586299994</v>
      </c>
    </row>
    <row r="31" spans="2:26">
      <c r="B31" s="38" t="s">
        <v>224</v>
      </c>
      <c r="C31" s="50">
        <v>267706.06404999999</v>
      </c>
      <c r="D31" s="50">
        <v>124806.38085220339</v>
      </c>
      <c r="E31" s="50">
        <v>20872</v>
      </c>
      <c r="F31" s="50">
        <v>26757</v>
      </c>
      <c r="G31" s="50">
        <v>95427</v>
      </c>
      <c r="H31" s="50">
        <v>63830</v>
      </c>
      <c r="I31" s="50">
        <v>34028</v>
      </c>
      <c r="J31" s="50">
        <v>47699</v>
      </c>
      <c r="K31" s="50">
        <v>47941</v>
      </c>
      <c r="L31" s="259">
        <v>50120</v>
      </c>
      <c r="M31" s="50">
        <v>132992</v>
      </c>
      <c r="N31" s="50">
        <v>-95475</v>
      </c>
      <c r="O31" s="50">
        <v>32657</v>
      </c>
      <c r="P31" s="257">
        <v>472827</v>
      </c>
      <c r="Q31" s="257">
        <v>124176</v>
      </c>
      <c r="R31" s="257">
        <v>122379.21144999994</v>
      </c>
      <c r="S31" s="257">
        <v>112173.77477000008</v>
      </c>
      <c r="T31" s="257">
        <v>159818.98731</v>
      </c>
      <c r="U31" s="257">
        <v>127909.44206</v>
      </c>
      <c r="V31" s="257">
        <v>181871.73069999999</v>
      </c>
      <c r="W31" s="257">
        <v>144807.80170000001</v>
      </c>
      <c r="X31" s="234">
        <v>56298.607539999997</v>
      </c>
      <c r="Y31" s="234">
        <v>193344.64080999998</v>
      </c>
      <c r="Z31" s="234">
        <v>134388.54344000001</v>
      </c>
    </row>
    <row r="32" spans="2:26">
      <c r="B32" s="38" t="s">
        <v>225</v>
      </c>
      <c r="C32" s="50">
        <v>-27939</v>
      </c>
      <c r="D32" s="50">
        <v>-55006</v>
      </c>
      <c r="E32" s="50">
        <v>4722</v>
      </c>
      <c r="F32" s="50">
        <v>-32</v>
      </c>
      <c r="G32" s="50">
        <v>-24446</v>
      </c>
      <c r="H32" s="50">
        <v>-14980</v>
      </c>
      <c r="I32" s="50">
        <v>191</v>
      </c>
      <c r="J32" s="50">
        <v>2569</v>
      </c>
      <c r="K32" s="50">
        <v>872</v>
      </c>
      <c r="L32" s="259">
        <v>-107</v>
      </c>
      <c r="M32" s="50">
        <v>4662</v>
      </c>
      <c r="N32" s="50">
        <v>146652</v>
      </c>
      <c r="O32" s="50">
        <v>-4511</v>
      </c>
      <c r="P32" s="257">
        <v>23368</v>
      </c>
      <c r="Q32" s="257">
        <v>-10686</v>
      </c>
      <c r="R32" s="257">
        <v>4194</v>
      </c>
      <c r="S32" s="234">
        <v>-7039</v>
      </c>
      <c r="T32" s="234">
        <v>-20241</v>
      </c>
      <c r="U32" s="234">
        <v>-6663</v>
      </c>
      <c r="V32" s="234">
        <v>4115</v>
      </c>
      <c r="W32" s="234">
        <v>-2673</v>
      </c>
      <c r="X32" s="234">
        <v>-4283.5871609999995</v>
      </c>
      <c r="Y32" s="234">
        <v>-3985.1607750000003</v>
      </c>
      <c r="Z32" s="234">
        <v>12163.524677000001</v>
      </c>
    </row>
    <row r="33" spans="2:26">
      <c r="B33" s="223" t="s">
        <v>226</v>
      </c>
      <c r="C33" s="58">
        <f t="shared" ref="C33:T33" si="13">SUM(C30:C32)</f>
        <v>7466652</v>
      </c>
      <c r="D33" s="58">
        <f t="shared" si="13"/>
        <v>1981105.3905322035</v>
      </c>
      <c r="E33" s="58">
        <f t="shared" si="13"/>
        <v>346104</v>
      </c>
      <c r="F33" s="58">
        <f t="shared" si="13"/>
        <v>351825</v>
      </c>
      <c r="G33" s="58">
        <f t="shared" si="13"/>
        <v>960856</v>
      </c>
      <c r="H33" s="58">
        <f t="shared" si="13"/>
        <v>713255</v>
      </c>
      <c r="I33" s="58">
        <f t="shared" si="13"/>
        <v>509264</v>
      </c>
      <c r="J33" s="58">
        <f t="shared" si="13"/>
        <v>651361</v>
      </c>
      <c r="K33" s="58">
        <f t="shared" si="13"/>
        <v>425352</v>
      </c>
      <c r="L33" s="445">
        <f t="shared" si="13"/>
        <v>569936</v>
      </c>
      <c r="M33" s="58">
        <f>SUM(M30:M32)</f>
        <v>672135</v>
      </c>
      <c r="N33" s="58">
        <f t="shared" si="13"/>
        <v>1219987</v>
      </c>
      <c r="O33" s="58">
        <f t="shared" si="13"/>
        <v>669409</v>
      </c>
      <c r="P33" s="460">
        <f t="shared" si="13"/>
        <v>3251258</v>
      </c>
      <c r="Q33" s="460">
        <f t="shared" si="13"/>
        <v>760563</v>
      </c>
      <c r="R33" s="460">
        <f t="shared" si="13"/>
        <v>1177328.6866599997</v>
      </c>
      <c r="S33" s="460">
        <f t="shared" si="13"/>
        <v>977199.38590000011</v>
      </c>
      <c r="T33" s="460">
        <f t="shared" si="13"/>
        <v>891133.16185000003</v>
      </c>
      <c r="U33" s="460">
        <v>725995.12905000011</v>
      </c>
      <c r="V33" s="460">
        <v>914709.88444999978</v>
      </c>
      <c r="W33" s="460">
        <v>616891.8327275</v>
      </c>
      <c r="X33" s="460">
        <f t="shared" ref="X33:Y33" si="14">SUM(X30:X32)</f>
        <v>420536.86382240913</v>
      </c>
      <c r="Y33" s="460">
        <f t="shared" si="14"/>
        <v>956809.3762800002</v>
      </c>
      <c r="Z33" s="460">
        <v>783582.07397999999</v>
      </c>
    </row>
    <row r="34" spans="2:26">
      <c r="B34" s="222" t="s">
        <v>227</v>
      </c>
      <c r="C34" s="50">
        <f>SUM(C35:C36)</f>
        <v>-2333912</v>
      </c>
      <c r="D34" s="50">
        <f t="shared" ref="D34:Q34" si="15">SUM(D35:D36)</f>
        <v>-595645</v>
      </c>
      <c r="E34" s="50">
        <f t="shared" si="15"/>
        <v>-105696</v>
      </c>
      <c r="F34" s="50">
        <f t="shared" si="15"/>
        <v>-103759</v>
      </c>
      <c r="G34" s="50">
        <f t="shared" si="15"/>
        <v>-234270</v>
      </c>
      <c r="H34" s="50">
        <f t="shared" si="15"/>
        <v>3714</v>
      </c>
      <c r="I34" s="50">
        <f t="shared" si="15"/>
        <v>-151873</v>
      </c>
      <c r="J34" s="50">
        <f t="shared" si="15"/>
        <v>-188680</v>
      </c>
      <c r="K34" s="50">
        <f t="shared" si="15"/>
        <v>14067</v>
      </c>
      <c r="L34" s="259">
        <f t="shared" si="15"/>
        <v>-49976</v>
      </c>
      <c r="M34" s="257">
        <f t="shared" si="15"/>
        <v>-150055</v>
      </c>
      <c r="N34" s="50">
        <f t="shared" si="15"/>
        <v>-339481</v>
      </c>
      <c r="O34" s="50">
        <f t="shared" si="15"/>
        <v>-173636</v>
      </c>
      <c r="P34" s="257">
        <f t="shared" si="15"/>
        <v>-175216</v>
      </c>
      <c r="Q34" s="257">
        <f t="shared" si="15"/>
        <v>-176084</v>
      </c>
      <c r="R34" s="257">
        <v>-323918.01</v>
      </c>
      <c r="S34" s="234">
        <f t="shared" ref="S34:T34" si="16">SUM(S35:S36)</f>
        <v>-248772.86099999998</v>
      </c>
      <c r="T34" s="234">
        <f t="shared" si="16"/>
        <v>-19640.630999999994</v>
      </c>
      <c r="U34" s="234">
        <v>-172825.39668999999</v>
      </c>
      <c r="V34" s="234">
        <v>-201533.62086</v>
      </c>
      <c r="W34" s="234">
        <v>-123887.98245000001</v>
      </c>
      <c r="X34" s="234">
        <v>139904</v>
      </c>
      <c r="Y34" s="234">
        <v>-201606</v>
      </c>
      <c r="Z34" s="234">
        <v>-170456.00000000003</v>
      </c>
    </row>
    <row r="35" spans="2:26">
      <c r="B35" s="38" t="s">
        <v>228</v>
      </c>
      <c r="C35" s="50">
        <v>-79301</v>
      </c>
      <c r="D35" s="50">
        <v>-354491</v>
      </c>
      <c r="E35" s="50">
        <v>-176614</v>
      </c>
      <c r="F35" s="50">
        <v>-167890</v>
      </c>
      <c r="G35" s="50">
        <v>-152616</v>
      </c>
      <c r="H35" s="50">
        <v>89697</v>
      </c>
      <c r="I35" s="50">
        <v>-114844</v>
      </c>
      <c r="J35" s="50">
        <v>-132273</v>
      </c>
      <c r="K35" s="50">
        <v>4830</v>
      </c>
      <c r="L35" s="259">
        <v>-34509</v>
      </c>
      <c r="M35" s="257">
        <v>-77594</v>
      </c>
      <c r="N35" s="50">
        <v>-69687</v>
      </c>
      <c r="O35" s="50">
        <v>-234607</v>
      </c>
      <c r="P35" s="257">
        <v>-34067</v>
      </c>
      <c r="Q35" s="257">
        <v>-210719</v>
      </c>
      <c r="R35" s="257">
        <v>-141652.12700000001</v>
      </c>
      <c r="S35" s="234">
        <v>-95938.021999999997</v>
      </c>
      <c r="T35" s="234">
        <v>139392.13800000001</v>
      </c>
      <c r="U35" s="234">
        <v>-39982.188589999998</v>
      </c>
      <c r="V35" s="234">
        <v>-24828.811410000002</v>
      </c>
      <c r="W35" s="234">
        <v>-147609</v>
      </c>
      <c r="X35" s="234">
        <v>97919</v>
      </c>
      <c r="Y35" s="234">
        <v>-113916</v>
      </c>
      <c r="Z35" s="234">
        <v>-111388</v>
      </c>
    </row>
    <row r="36" spans="2:26">
      <c r="B36" s="38" t="s">
        <v>229</v>
      </c>
      <c r="C36" s="50">
        <v>-2254611</v>
      </c>
      <c r="D36" s="50">
        <v>-241154</v>
      </c>
      <c r="E36" s="50">
        <v>70918</v>
      </c>
      <c r="F36" s="50">
        <v>64131</v>
      </c>
      <c r="G36" s="50">
        <v>-81654</v>
      </c>
      <c r="H36" s="50">
        <v>-85983</v>
      </c>
      <c r="I36" s="50">
        <v>-37029</v>
      </c>
      <c r="J36" s="50">
        <v>-56407</v>
      </c>
      <c r="K36" s="50">
        <v>9237</v>
      </c>
      <c r="L36" s="259">
        <v>-15467</v>
      </c>
      <c r="M36" s="257">
        <v>-72461</v>
      </c>
      <c r="N36" s="50">
        <v>-269794</v>
      </c>
      <c r="O36" s="50">
        <v>60971</v>
      </c>
      <c r="P36" s="257">
        <v>-141149</v>
      </c>
      <c r="Q36" s="257">
        <v>34635</v>
      </c>
      <c r="R36" s="257">
        <v>-182265.883</v>
      </c>
      <c r="S36" s="234">
        <v>-152834.83899999998</v>
      </c>
      <c r="T36" s="234">
        <v>-159032.769</v>
      </c>
      <c r="U36" s="234">
        <v>-132843.20809999999</v>
      </c>
      <c r="V36" s="234">
        <v>-176704.80945</v>
      </c>
      <c r="W36" s="234">
        <v>23721.01754999999</v>
      </c>
      <c r="X36" s="234">
        <v>41985</v>
      </c>
      <c r="Y36" s="234">
        <v>-87690</v>
      </c>
      <c r="Z36" s="234">
        <v>-59068</v>
      </c>
    </row>
    <row r="37" spans="2:26">
      <c r="B37" s="223" t="s">
        <v>230</v>
      </c>
      <c r="C37" s="472">
        <v>7404.8</v>
      </c>
      <c r="D37" s="472">
        <v>2059.5</v>
      </c>
      <c r="E37" s="472" t="s">
        <v>231</v>
      </c>
      <c r="F37" s="472" t="s">
        <v>232</v>
      </c>
      <c r="G37" s="472">
        <v>1013079</v>
      </c>
      <c r="H37" s="472">
        <v>748271</v>
      </c>
      <c r="I37" s="472">
        <v>570014</v>
      </c>
      <c r="J37" s="472">
        <v>706313</v>
      </c>
      <c r="K37" s="472">
        <v>465799</v>
      </c>
      <c r="L37" s="472">
        <v>621536</v>
      </c>
      <c r="M37" s="472">
        <v>609446</v>
      </c>
      <c r="N37" s="472">
        <v>609446</v>
      </c>
      <c r="O37" s="472">
        <v>609446</v>
      </c>
      <c r="P37" s="472">
        <v>609446</v>
      </c>
      <c r="Q37" s="472">
        <v>882100</v>
      </c>
      <c r="R37" s="472">
        <v>1320600</v>
      </c>
      <c r="S37" s="499">
        <v>1143424</v>
      </c>
      <c r="T37" s="499">
        <v>1113959</v>
      </c>
      <c r="U37" s="499">
        <v>963216</v>
      </c>
      <c r="V37" s="499">
        <v>1224575.2283899998</v>
      </c>
      <c r="W37" s="499">
        <v>749158.81978000002</v>
      </c>
      <c r="X37" s="499">
        <v>963216</v>
      </c>
      <c r="Y37" s="499">
        <v>963216</v>
      </c>
      <c r="Z37" s="499">
        <v>1047801.598657</v>
      </c>
    </row>
    <row r="38" spans="2:26">
      <c r="B38" s="223" t="s">
        <v>233</v>
      </c>
      <c r="C38" s="58">
        <f t="shared" ref="C38:T38" si="17">SUM(C33:C34)</f>
        <v>5132740</v>
      </c>
      <c r="D38" s="58">
        <f t="shared" si="17"/>
        <v>1385460.3905322035</v>
      </c>
      <c r="E38" s="58">
        <f t="shared" si="17"/>
        <v>240408</v>
      </c>
      <c r="F38" s="58">
        <f t="shared" si="17"/>
        <v>248066</v>
      </c>
      <c r="G38" s="58">
        <f t="shared" si="17"/>
        <v>726586</v>
      </c>
      <c r="H38" s="58">
        <f t="shared" si="17"/>
        <v>716969</v>
      </c>
      <c r="I38" s="58">
        <f t="shared" si="17"/>
        <v>357391</v>
      </c>
      <c r="J38" s="58">
        <f t="shared" si="17"/>
        <v>462681</v>
      </c>
      <c r="K38" s="58">
        <f t="shared" si="17"/>
        <v>439419</v>
      </c>
      <c r="L38" s="445">
        <f t="shared" si="17"/>
        <v>519960</v>
      </c>
      <c r="M38" s="58">
        <f>SUM(M33:M34)</f>
        <v>522080</v>
      </c>
      <c r="N38" s="58">
        <f t="shared" si="17"/>
        <v>880506</v>
      </c>
      <c r="O38" s="58">
        <f t="shared" si="17"/>
        <v>495773</v>
      </c>
      <c r="P38" s="460">
        <f t="shared" si="17"/>
        <v>3076042</v>
      </c>
      <c r="Q38" s="460">
        <f t="shared" si="17"/>
        <v>584479</v>
      </c>
      <c r="R38" s="460">
        <f t="shared" si="17"/>
        <v>853410.67665999965</v>
      </c>
      <c r="S38" s="460">
        <f t="shared" si="17"/>
        <v>728426.52490000008</v>
      </c>
      <c r="T38" s="460">
        <f t="shared" si="17"/>
        <v>871492.53084999998</v>
      </c>
      <c r="U38" s="460">
        <v>553169.73236000014</v>
      </c>
      <c r="V38" s="460">
        <v>713176.26358999975</v>
      </c>
      <c r="W38" s="460">
        <v>493003.85027749999</v>
      </c>
      <c r="X38" s="460">
        <f t="shared" ref="X38" si="18">SUM(X33:X34)</f>
        <v>560440.86382240918</v>
      </c>
      <c r="Y38" s="460">
        <f t="shared" ref="Y38" si="19">SUM(Y33:Y34)</f>
        <v>755203.3762800002</v>
      </c>
      <c r="Z38" s="460">
        <v>613126.07397999999</v>
      </c>
    </row>
    <row r="39" spans="2:26">
      <c r="B39" s="38" t="s">
        <v>234</v>
      </c>
      <c r="C39" s="50">
        <v>-17022</v>
      </c>
      <c r="D39" s="50">
        <v>-19947.994313528317</v>
      </c>
      <c r="E39" s="50">
        <v>-3460</v>
      </c>
      <c r="F39" s="50">
        <v>-3285</v>
      </c>
      <c r="G39" s="50">
        <v>-3419</v>
      </c>
      <c r="H39" s="50">
        <v>-3413</v>
      </c>
      <c r="I39" s="50">
        <v>-3879</v>
      </c>
      <c r="J39" s="50">
        <v>-4367</v>
      </c>
      <c r="K39" s="50">
        <v>-4342</v>
      </c>
      <c r="L39" s="259">
        <v>-4232</v>
      </c>
      <c r="M39" s="257">
        <v>-15497</v>
      </c>
      <c r="N39" s="50">
        <v>-1667</v>
      </c>
      <c r="O39" s="50">
        <v>-2143</v>
      </c>
      <c r="P39" s="257">
        <v>-1840</v>
      </c>
      <c r="Q39" s="257">
        <v>-1855</v>
      </c>
      <c r="R39" s="257">
        <v>-3411</v>
      </c>
      <c r="S39" s="234">
        <v>-5329</v>
      </c>
      <c r="T39" s="234">
        <v>-8614.2032599999984</v>
      </c>
      <c r="U39" s="234">
        <v>-10096</v>
      </c>
      <c r="V39" s="234">
        <v>-13471</v>
      </c>
      <c r="W39" s="234">
        <v>-16066.766199999998</v>
      </c>
      <c r="X39" s="234">
        <v>-17912.233800000002</v>
      </c>
      <c r="Y39" s="234">
        <v>-6341</v>
      </c>
      <c r="Z39" s="234">
        <v>-12269</v>
      </c>
    </row>
    <row r="40" spans="2:26">
      <c r="B40" s="223" t="s">
        <v>235</v>
      </c>
      <c r="C40" s="58">
        <f>SUM(C38:C39)</f>
        <v>5115718</v>
      </c>
      <c r="D40" s="58">
        <f t="shared" ref="D40:T40" si="20">SUM(D38:D39)</f>
        <v>1365512.3962186752</v>
      </c>
      <c r="E40" s="58">
        <f t="shared" si="20"/>
        <v>236948</v>
      </c>
      <c r="F40" s="58">
        <f t="shared" si="20"/>
        <v>244781</v>
      </c>
      <c r="G40" s="58">
        <f t="shared" si="20"/>
        <v>723167</v>
      </c>
      <c r="H40" s="58">
        <f t="shared" si="20"/>
        <v>713556</v>
      </c>
      <c r="I40" s="58">
        <f t="shared" si="20"/>
        <v>353512</v>
      </c>
      <c r="J40" s="58">
        <f t="shared" si="20"/>
        <v>458314</v>
      </c>
      <c r="K40" s="58">
        <f t="shared" si="20"/>
        <v>435077</v>
      </c>
      <c r="L40" s="445">
        <f t="shared" si="20"/>
        <v>515728</v>
      </c>
      <c r="M40" s="58">
        <f>SUM(M38:M39)</f>
        <v>506583</v>
      </c>
      <c r="N40" s="58">
        <f t="shared" si="20"/>
        <v>878839</v>
      </c>
      <c r="O40" s="58">
        <f t="shared" si="20"/>
        <v>493630</v>
      </c>
      <c r="P40" s="460">
        <f t="shared" si="20"/>
        <v>3074202</v>
      </c>
      <c r="Q40" s="460">
        <f t="shared" si="20"/>
        <v>582624</v>
      </c>
      <c r="R40" s="460">
        <f t="shared" si="20"/>
        <v>849999.67665999965</v>
      </c>
      <c r="S40" s="460">
        <f t="shared" si="20"/>
        <v>723097.52490000008</v>
      </c>
      <c r="T40" s="460">
        <f t="shared" si="20"/>
        <v>862878.32759</v>
      </c>
      <c r="U40" s="460">
        <v>543073.73236000014</v>
      </c>
      <c r="V40" s="460">
        <v>699705.26358999975</v>
      </c>
      <c r="W40" s="460">
        <v>476937.08407749998</v>
      </c>
      <c r="X40" s="460">
        <f t="shared" ref="X40" si="21">SUM(X38:X39)</f>
        <v>542528.63002240914</v>
      </c>
      <c r="Y40" s="460">
        <f t="shared" ref="Y40" si="22">SUM(Y38:Y39)</f>
        <v>748862.3762800002</v>
      </c>
      <c r="Z40" s="460">
        <v>600857.07397999999</v>
      </c>
    </row>
    <row r="41" spans="2:26">
      <c r="B41" s="222"/>
      <c r="C41" s="224"/>
      <c r="D41" s="224"/>
      <c r="E41" s="224"/>
      <c r="F41" s="224"/>
      <c r="G41" s="224"/>
      <c r="H41" s="224"/>
      <c r="I41" s="224"/>
      <c r="J41" s="224"/>
      <c r="K41" s="224"/>
      <c r="L41" s="446"/>
      <c r="M41" s="224"/>
      <c r="N41" s="224"/>
      <c r="O41" s="224"/>
      <c r="P41" s="258"/>
      <c r="Q41" s="258"/>
      <c r="R41" s="258"/>
    </row>
    <row r="42" spans="2:26">
      <c r="B42" s="222"/>
      <c r="C42" s="224"/>
      <c r="D42" s="224"/>
      <c r="E42" s="224"/>
      <c r="F42" s="224"/>
      <c r="G42" s="224"/>
      <c r="H42" s="224"/>
      <c r="I42" s="224"/>
      <c r="J42" s="224"/>
      <c r="K42" s="224"/>
      <c r="L42" s="446"/>
      <c r="M42" s="224"/>
      <c r="N42" s="224"/>
      <c r="O42" s="224"/>
      <c r="P42" s="258"/>
      <c r="Q42" s="258"/>
      <c r="R42" s="258"/>
    </row>
    <row r="43" spans="2:26">
      <c r="L43" s="447"/>
      <c r="P43" s="263"/>
      <c r="Q43" s="263"/>
      <c r="R43" s="263"/>
    </row>
    <row r="44" spans="2:26" ht="15">
      <c r="B44" s="11" t="s">
        <v>236</v>
      </c>
      <c r="L44" s="447"/>
      <c r="P44" s="263"/>
      <c r="Q44" s="263"/>
      <c r="R44" s="263"/>
    </row>
    <row r="45" spans="2:26" ht="15">
      <c r="B45" s="13" t="s">
        <v>180</v>
      </c>
      <c r="L45" s="447"/>
      <c r="P45" s="263"/>
      <c r="Q45" s="263"/>
      <c r="R45" s="263"/>
    </row>
    <row r="46" spans="2:26" s="36" customFormat="1">
      <c r="B46"/>
      <c r="C46"/>
      <c r="D46"/>
      <c r="E46"/>
      <c r="F46"/>
      <c r="G46"/>
      <c r="H46"/>
      <c r="I46"/>
      <c r="J46"/>
      <c r="K46"/>
      <c r="L46" s="447"/>
      <c r="M46"/>
      <c r="N46"/>
      <c r="O46"/>
      <c r="P46" s="263"/>
      <c r="Q46" s="263"/>
      <c r="R46" s="263"/>
    </row>
    <row r="47" spans="2:26">
      <c r="B47" s="773" t="s">
        <v>237</v>
      </c>
      <c r="C47" s="774" t="s">
        <v>181</v>
      </c>
      <c r="D47" s="774"/>
      <c r="E47" s="774"/>
      <c r="F47" s="774"/>
      <c r="G47" s="774"/>
      <c r="H47" s="774"/>
      <c r="I47" s="774"/>
      <c r="J47" s="774"/>
      <c r="K47" s="774"/>
      <c r="L47" s="774"/>
      <c r="M47" s="774"/>
      <c r="N47" s="774"/>
      <c r="O47" s="774"/>
      <c r="P47" s="774"/>
      <c r="Q47" s="448"/>
      <c r="R47" s="448"/>
      <c r="S47" s="500"/>
      <c r="T47" s="500"/>
      <c r="U47" s="444"/>
      <c r="V47" s="444"/>
      <c r="W47" s="444"/>
      <c r="X47" s="500"/>
      <c r="Y47" s="444"/>
      <c r="Z47" s="444"/>
    </row>
    <row r="48" spans="2:26">
      <c r="B48" s="773"/>
      <c r="C48" s="49">
        <v>2016</v>
      </c>
      <c r="D48" s="49">
        <v>2017</v>
      </c>
      <c r="E48" s="49" t="s">
        <v>182</v>
      </c>
      <c r="F48" s="49" t="s">
        <v>183</v>
      </c>
      <c r="G48" s="49" t="s">
        <v>184</v>
      </c>
      <c r="H48" s="49" t="s">
        <v>185</v>
      </c>
      <c r="I48" s="49" t="s">
        <v>186</v>
      </c>
      <c r="J48" s="49" t="s">
        <v>187</v>
      </c>
      <c r="K48" s="49" t="s">
        <v>188</v>
      </c>
      <c r="L48" s="340" t="s">
        <v>189</v>
      </c>
      <c r="M48" s="49" t="s">
        <v>190</v>
      </c>
      <c r="N48" s="49" t="s">
        <v>191</v>
      </c>
      <c r="O48" s="49" t="s">
        <v>192</v>
      </c>
      <c r="P48" s="449" t="s">
        <v>193</v>
      </c>
      <c r="Q48" s="449" t="s">
        <v>194</v>
      </c>
      <c r="R48" s="449" t="s">
        <v>195</v>
      </c>
      <c r="S48" s="449" t="s">
        <v>196</v>
      </c>
      <c r="T48" s="449" t="s">
        <v>197</v>
      </c>
      <c r="U48" s="449" t="s">
        <v>198</v>
      </c>
      <c r="V48" s="449" t="s">
        <v>199</v>
      </c>
      <c r="W48" s="449" t="s">
        <v>200</v>
      </c>
      <c r="X48" s="449" t="s">
        <v>1153</v>
      </c>
      <c r="Y48" s="449" t="s">
        <v>1168</v>
      </c>
      <c r="Z48" s="449" t="s">
        <v>1208</v>
      </c>
    </row>
    <row r="49" spans="2:26">
      <c r="B49" s="225" t="s">
        <v>238</v>
      </c>
      <c r="C49" s="226"/>
      <c r="D49" s="226"/>
      <c r="E49" s="226"/>
      <c r="F49" s="225"/>
      <c r="G49" s="226"/>
      <c r="H49" s="226"/>
      <c r="I49" s="226"/>
      <c r="J49" s="226"/>
      <c r="K49" s="226"/>
      <c r="L49" s="450"/>
      <c r="M49" s="226"/>
      <c r="N49" s="226"/>
      <c r="O49" s="226"/>
      <c r="P49" s="262"/>
      <c r="Q49" s="262"/>
      <c r="R49" s="262"/>
      <c r="S49" s="262"/>
      <c r="T49" s="262"/>
      <c r="X49" s="262"/>
    </row>
    <row r="50" spans="2:26">
      <c r="B50" s="38" t="s">
        <v>239</v>
      </c>
      <c r="C50" s="50">
        <v>4524</v>
      </c>
      <c r="D50" s="50">
        <v>6585</v>
      </c>
      <c r="E50" s="50">
        <v>11749</v>
      </c>
      <c r="F50" s="50">
        <v>7059</v>
      </c>
      <c r="G50" s="50">
        <v>12736</v>
      </c>
      <c r="H50" s="50">
        <v>16740</v>
      </c>
      <c r="I50" s="50">
        <v>17968</v>
      </c>
      <c r="J50" s="50">
        <v>14039</v>
      </c>
      <c r="K50" s="50">
        <v>7110</v>
      </c>
      <c r="L50" s="259">
        <v>595971</v>
      </c>
      <c r="M50" s="50">
        <v>757278</v>
      </c>
      <c r="N50" s="50">
        <v>1320153</v>
      </c>
      <c r="O50" s="50">
        <v>799542</v>
      </c>
      <c r="P50" s="257">
        <v>2067337</v>
      </c>
      <c r="Q50" s="257">
        <v>853688</v>
      </c>
      <c r="R50" s="257">
        <v>1090994</v>
      </c>
      <c r="S50" s="257">
        <v>231326</v>
      </c>
      <c r="T50" s="257">
        <v>282632</v>
      </c>
      <c r="U50" s="257">
        <v>316445</v>
      </c>
      <c r="V50" s="257">
        <v>221490</v>
      </c>
      <c r="W50" s="257">
        <v>168236</v>
      </c>
      <c r="X50" s="234">
        <v>336523</v>
      </c>
      <c r="Y50" s="234">
        <v>1484897</v>
      </c>
      <c r="Z50" s="234">
        <v>724877</v>
      </c>
    </row>
    <row r="51" spans="2:26">
      <c r="B51" s="38" t="s">
        <v>240</v>
      </c>
      <c r="C51" s="50">
        <v>336138</v>
      </c>
      <c r="D51" s="50">
        <v>610066</v>
      </c>
      <c r="E51" s="50">
        <v>716226</v>
      </c>
      <c r="F51" s="50">
        <v>843828</v>
      </c>
      <c r="G51" s="50">
        <v>1591227</v>
      </c>
      <c r="H51" s="50">
        <v>680909</v>
      </c>
      <c r="I51" s="50">
        <v>1087284</v>
      </c>
      <c r="J51" s="50">
        <v>1330308</v>
      </c>
      <c r="K51" s="50">
        <v>1197427</v>
      </c>
      <c r="L51" s="259">
        <v>2068611</v>
      </c>
      <c r="M51" s="50">
        <v>511984</v>
      </c>
      <c r="N51" s="50">
        <v>565480</v>
      </c>
      <c r="O51" s="50">
        <v>541218</v>
      </c>
      <c r="P51" s="257">
        <v>453557</v>
      </c>
      <c r="Q51" s="257">
        <v>469733</v>
      </c>
      <c r="R51" s="257">
        <v>724512</v>
      </c>
      <c r="S51" s="257">
        <v>976131</v>
      </c>
      <c r="T51" s="257">
        <v>813634</v>
      </c>
      <c r="U51" s="257">
        <v>882793</v>
      </c>
      <c r="V51" s="257">
        <v>860842</v>
      </c>
      <c r="W51" s="257">
        <v>1185524</v>
      </c>
      <c r="X51" s="234">
        <v>907326</v>
      </c>
      <c r="Y51" s="234">
        <v>323338</v>
      </c>
      <c r="Z51" s="234">
        <v>737115</v>
      </c>
    </row>
    <row r="52" spans="2:26">
      <c r="B52" s="38" t="s">
        <v>241</v>
      </c>
      <c r="C52" s="50">
        <v>1221016</v>
      </c>
      <c r="D52" s="50">
        <v>1924928</v>
      </c>
      <c r="E52" s="50">
        <v>1913172.7178499999</v>
      </c>
      <c r="F52" s="50">
        <v>1916407</v>
      </c>
      <c r="G52" s="50">
        <v>2041938</v>
      </c>
      <c r="H52" s="50">
        <v>2086298</v>
      </c>
      <c r="I52" s="50">
        <v>1956862</v>
      </c>
      <c r="J52" s="50">
        <v>1983261</v>
      </c>
      <c r="K52" s="50">
        <v>2038412</v>
      </c>
      <c r="L52" s="259">
        <v>2061882</v>
      </c>
      <c r="M52" s="50">
        <v>2082903</v>
      </c>
      <c r="N52" s="50">
        <v>2598707</v>
      </c>
      <c r="O52" s="50">
        <v>2728926</v>
      </c>
      <c r="P52" s="257">
        <v>2804373</v>
      </c>
      <c r="Q52" s="257">
        <v>3057083</v>
      </c>
      <c r="R52" s="257">
        <v>1992387</v>
      </c>
      <c r="S52" s="257">
        <v>2203432</v>
      </c>
      <c r="T52" s="257">
        <v>2344141</v>
      </c>
      <c r="U52" s="257">
        <v>2481722</v>
      </c>
      <c r="V52" s="257">
        <v>2714897</v>
      </c>
      <c r="W52" s="257">
        <v>2905423</v>
      </c>
      <c r="X52" s="234">
        <v>3030059</v>
      </c>
      <c r="Y52" s="234">
        <v>3163797</v>
      </c>
      <c r="Z52" s="234">
        <v>3282217</v>
      </c>
    </row>
    <row r="53" spans="2:26">
      <c r="B53" s="38" t="s">
        <v>242</v>
      </c>
      <c r="C53" s="50">
        <v>37723</v>
      </c>
      <c r="D53" s="50">
        <v>37639</v>
      </c>
      <c r="E53" s="50">
        <v>38357</v>
      </c>
      <c r="F53" s="50">
        <v>35204</v>
      </c>
      <c r="G53" s="50">
        <v>34907</v>
      </c>
      <c r="H53" s="50">
        <v>39173</v>
      </c>
      <c r="I53" s="50">
        <v>37516</v>
      </c>
      <c r="J53" s="50">
        <v>34742</v>
      </c>
      <c r="K53" s="50">
        <v>34550</v>
      </c>
      <c r="L53" s="259">
        <v>103818</v>
      </c>
      <c r="M53" s="50">
        <v>63747</v>
      </c>
      <c r="N53" s="50">
        <v>34337</v>
      </c>
      <c r="O53" s="50">
        <v>41637</v>
      </c>
      <c r="P53" s="257">
        <v>45297</v>
      </c>
      <c r="Q53" s="257">
        <v>49717</v>
      </c>
      <c r="R53" s="257">
        <v>56604</v>
      </c>
      <c r="S53" s="257">
        <v>56578</v>
      </c>
      <c r="T53" s="257">
        <v>49817</v>
      </c>
      <c r="U53" s="257">
        <v>62340</v>
      </c>
      <c r="V53" s="257">
        <v>67483</v>
      </c>
      <c r="W53" s="257">
        <v>82896</v>
      </c>
      <c r="X53" s="234">
        <v>91236</v>
      </c>
      <c r="Y53" s="234">
        <v>93088</v>
      </c>
      <c r="Z53" s="234">
        <v>92273</v>
      </c>
    </row>
    <row r="54" spans="2:26">
      <c r="B54" s="38" t="s">
        <v>243</v>
      </c>
      <c r="C54" s="50">
        <v>8563</v>
      </c>
      <c r="D54" s="50">
        <v>14162</v>
      </c>
      <c r="E54" s="50">
        <v>132735</v>
      </c>
      <c r="F54" s="50">
        <v>216638</v>
      </c>
      <c r="G54" s="50">
        <v>315452</v>
      </c>
      <c r="H54" s="50">
        <v>29521</v>
      </c>
      <c r="I54" s="50">
        <v>84201</v>
      </c>
      <c r="J54" s="50">
        <v>169403</v>
      </c>
      <c r="K54" s="50">
        <v>215694</v>
      </c>
      <c r="L54" s="259">
        <v>32335</v>
      </c>
      <c r="M54" s="50">
        <v>43483</v>
      </c>
      <c r="N54" s="50">
        <v>84600</v>
      </c>
      <c r="O54" s="50">
        <v>210886</v>
      </c>
      <c r="P54" s="257">
        <v>28807</v>
      </c>
      <c r="Q54" s="257">
        <v>72195</v>
      </c>
      <c r="R54" s="257">
        <v>107737</v>
      </c>
      <c r="S54" s="257">
        <v>149271</v>
      </c>
      <c r="T54" s="257">
        <v>72150</v>
      </c>
      <c r="U54" s="257">
        <v>96648</v>
      </c>
      <c r="V54" s="257">
        <v>126437</v>
      </c>
      <c r="W54" s="257">
        <v>161365</v>
      </c>
      <c r="X54" s="234">
        <v>114235</v>
      </c>
      <c r="Y54" s="234">
        <v>138970</v>
      </c>
      <c r="Z54" s="234">
        <v>171914</v>
      </c>
    </row>
    <row r="55" spans="2:26">
      <c r="B55" s="38" t="s">
        <v>244</v>
      </c>
      <c r="C55" s="50">
        <v>0</v>
      </c>
      <c r="D55" s="50">
        <v>2611</v>
      </c>
      <c r="E55" s="50">
        <v>0</v>
      </c>
      <c r="F55" s="50">
        <v>0</v>
      </c>
      <c r="G55" s="50">
        <v>0</v>
      </c>
      <c r="H55" s="50">
        <v>0</v>
      </c>
      <c r="I55" s="50">
        <v>0</v>
      </c>
      <c r="J55" s="50">
        <v>0</v>
      </c>
      <c r="K55" s="50">
        <v>67372</v>
      </c>
      <c r="L55" s="259">
        <v>19202</v>
      </c>
      <c r="M55" s="50">
        <v>228664</v>
      </c>
      <c r="N55" s="50">
        <v>255557</v>
      </c>
      <c r="O55" s="50">
        <v>14138</v>
      </c>
      <c r="P55" s="257">
        <v>9790</v>
      </c>
      <c r="Q55" s="257">
        <v>7507</v>
      </c>
      <c r="R55" s="257">
        <v>2259</v>
      </c>
      <c r="S55" s="257">
        <v>0</v>
      </c>
      <c r="T55" s="257">
        <v>200</v>
      </c>
      <c r="U55" s="257">
        <v>0</v>
      </c>
      <c r="V55" s="257">
        <v>0</v>
      </c>
      <c r="W55" s="257">
        <v>0</v>
      </c>
      <c r="X55" s="234">
        <v>816</v>
      </c>
      <c r="Y55" s="234">
        <v>0</v>
      </c>
      <c r="Z55" s="234">
        <v>0</v>
      </c>
    </row>
    <row r="56" spans="2:26">
      <c r="B56" s="38" t="s">
        <v>245</v>
      </c>
      <c r="C56" s="50" t="s">
        <v>214</v>
      </c>
      <c r="D56" s="50">
        <v>902.90506000000005</v>
      </c>
      <c r="E56" s="50">
        <v>490.49568999999974</v>
      </c>
      <c r="F56" s="50">
        <v>825</v>
      </c>
      <c r="G56" s="50">
        <v>423</v>
      </c>
      <c r="H56" s="50">
        <v>323</v>
      </c>
      <c r="I56" s="50">
        <v>4276</v>
      </c>
      <c r="J56" s="50">
        <v>9056</v>
      </c>
      <c r="K56" s="50">
        <v>9265</v>
      </c>
      <c r="L56" s="259">
        <v>703</v>
      </c>
      <c r="M56" s="50">
        <v>917</v>
      </c>
      <c r="N56" s="50">
        <v>1013</v>
      </c>
      <c r="O56" s="50">
        <v>580</v>
      </c>
      <c r="P56" s="257">
        <v>14994</v>
      </c>
      <c r="Q56" s="257">
        <v>14771</v>
      </c>
      <c r="R56" s="257">
        <v>15206</v>
      </c>
      <c r="S56" s="257">
        <v>9651</v>
      </c>
      <c r="T56" s="257">
        <v>78386</v>
      </c>
      <c r="U56" s="257">
        <v>78486</v>
      </c>
      <c r="V56" s="257">
        <v>78752</v>
      </c>
      <c r="W56" s="257">
        <v>78328</v>
      </c>
      <c r="X56" s="234">
        <v>89563</v>
      </c>
      <c r="Y56" s="234">
        <v>92044</v>
      </c>
      <c r="Z56" s="234">
        <v>112877</v>
      </c>
    </row>
    <row r="57" spans="2:26">
      <c r="B57" s="38" t="s">
        <v>246</v>
      </c>
      <c r="C57" s="50">
        <v>10303</v>
      </c>
      <c r="D57" s="50">
        <v>4607</v>
      </c>
      <c r="E57" s="50">
        <v>40927</v>
      </c>
      <c r="F57" s="50">
        <v>22245</v>
      </c>
      <c r="G57" s="50">
        <v>13145</v>
      </c>
      <c r="H57" s="50">
        <v>8384</v>
      </c>
      <c r="I57" s="50">
        <v>34841</v>
      </c>
      <c r="J57" s="50">
        <v>24862</v>
      </c>
      <c r="K57" s="50">
        <v>14657</v>
      </c>
      <c r="L57" s="259">
        <v>4677</v>
      </c>
      <c r="M57" s="50">
        <v>33212</v>
      </c>
      <c r="N57" s="50">
        <v>24292</v>
      </c>
      <c r="O57" s="50">
        <v>15324</v>
      </c>
      <c r="P57" s="257">
        <v>6400</v>
      </c>
      <c r="Q57" s="257">
        <v>36595</v>
      </c>
      <c r="R57" s="257">
        <v>28473</v>
      </c>
      <c r="S57" s="257">
        <v>18009</v>
      </c>
      <c r="T57" s="257">
        <v>11619</v>
      </c>
      <c r="U57" s="257">
        <v>43747</v>
      </c>
      <c r="V57" s="257">
        <v>38208</v>
      </c>
      <c r="W57" s="257">
        <v>20223</v>
      </c>
      <c r="X57" s="234">
        <v>6907</v>
      </c>
      <c r="Y57" s="234">
        <v>43208</v>
      </c>
      <c r="Z57" s="234">
        <v>31172</v>
      </c>
    </row>
    <row r="58" spans="2:26">
      <c r="B58" s="38" t="s">
        <v>247</v>
      </c>
      <c r="C58" s="50" t="s">
        <v>214</v>
      </c>
      <c r="D58" s="50">
        <v>1141</v>
      </c>
      <c r="E58" s="50">
        <v>0</v>
      </c>
      <c r="F58" s="50">
        <v>0</v>
      </c>
      <c r="G58" s="50">
        <v>1211</v>
      </c>
      <c r="H58" s="50">
        <v>1787</v>
      </c>
      <c r="I58" s="50">
        <v>1814</v>
      </c>
      <c r="J58" s="50">
        <v>1833</v>
      </c>
      <c r="K58" s="50">
        <v>1862</v>
      </c>
      <c r="L58" s="259">
        <v>1876</v>
      </c>
      <c r="M58" s="50">
        <v>1887</v>
      </c>
      <c r="N58" s="50">
        <v>1894</v>
      </c>
      <c r="O58" s="50">
        <v>1892</v>
      </c>
      <c r="P58" s="257">
        <v>1808</v>
      </c>
      <c r="Q58" s="257">
        <v>3873</v>
      </c>
      <c r="R58" s="257">
        <v>3866</v>
      </c>
      <c r="S58" s="257">
        <v>3931</v>
      </c>
      <c r="T58" s="257">
        <v>3952</v>
      </c>
      <c r="U58" s="257">
        <v>4017</v>
      </c>
      <c r="V58" s="257">
        <v>4977</v>
      </c>
      <c r="W58" s="257">
        <v>2715</v>
      </c>
      <c r="X58" s="234">
        <v>2126</v>
      </c>
      <c r="Y58" s="234">
        <v>6199</v>
      </c>
      <c r="Z58" s="234">
        <v>6352</v>
      </c>
    </row>
    <row r="59" spans="2:26">
      <c r="B59" s="38" t="s">
        <v>248</v>
      </c>
      <c r="C59" s="50"/>
      <c r="D59" s="50"/>
      <c r="E59" s="50"/>
      <c r="F59" s="50"/>
      <c r="G59" s="50"/>
      <c r="H59" s="50"/>
      <c r="I59" s="50"/>
      <c r="J59" s="50"/>
      <c r="K59" s="50"/>
      <c r="L59" s="259"/>
      <c r="M59" s="50"/>
      <c r="N59" s="50"/>
      <c r="O59" s="50"/>
      <c r="P59" s="257"/>
      <c r="Q59" s="257"/>
      <c r="R59" s="257"/>
      <c r="S59" s="257"/>
      <c r="T59" s="257"/>
      <c r="U59" s="257">
        <v>34</v>
      </c>
      <c r="V59" s="257">
        <v>28</v>
      </c>
      <c r="W59" s="257">
        <v>56</v>
      </c>
      <c r="X59" s="234">
        <v>28</v>
      </c>
      <c r="Y59" s="234">
        <v>0</v>
      </c>
      <c r="Z59" s="234">
        <v>0</v>
      </c>
    </row>
    <row r="60" spans="2:26">
      <c r="B60" s="38" t="s">
        <v>249</v>
      </c>
      <c r="C60" s="50">
        <v>62077</v>
      </c>
      <c r="D60" s="50">
        <v>41067</v>
      </c>
      <c r="E60" s="50">
        <v>59156</v>
      </c>
      <c r="F60" s="50">
        <v>78695</v>
      </c>
      <c r="G60" s="50">
        <v>46824</v>
      </c>
      <c r="H60" s="50">
        <v>36509</v>
      </c>
      <c r="I60" s="50">
        <v>31529</v>
      </c>
      <c r="J60" s="50">
        <v>30564</v>
      </c>
      <c r="K60" s="50">
        <v>28009</v>
      </c>
      <c r="L60" s="259">
        <v>44373</v>
      </c>
      <c r="M60" s="50">
        <v>46416</v>
      </c>
      <c r="N60" s="50">
        <v>80603</v>
      </c>
      <c r="O60" s="50">
        <v>79333</v>
      </c>
      <c r="P60" s="257">
        <v>75495</v>
      </c>
      <c r="Q60" s="257">
        <v>66824</v>
      </c>
      <c r="R60" s="257">
        <v>81102</v>
      </c>
      <c r="S60" s="257">
        <v>90260</v>
      </c>
      <c r="T60" s="257">
        <v>91318</v>
      </c>
      <c r="U60" s="257">
        <v>88454</v>
      </c>
      <c r="V60" s="257">
        <v>106975</v>
      </c>
      <c r="W60" s="257">
        <v>131678</v>
      </c>
      <c r="X60" s="234">
        <v>91351</v>
      </c>
      <c r="Y60" s="234">
        <v>114986</v>
      </c>
      <c r="Z60" s="234">
        <v>126185</v>
      </c>
    </row>
    <row r="61" spans="2:26" ht="14.1" customHeight="1">
      <c r="B61" s="227" t="s">
        <v>250</v>
      </c>
      <c r="C61" s="228">
        <f t="shared" ref="C61:T61" si="23">SUM(C50:C60)</f>
        <v>1680344</v>
      </c>
      <c r="D61" s="228">
        <f t="shared" si="23"/>
        <v>2643708.9050599998</v>
      </c>
      <c r="E61" s="228">
        <f t="shared" si="23"/>
        <v>2912813.2135399994</v>
      </c>
      <c r="F61" s="228">
        <f t="shared" si="23"/>
        <v>3120901</v>
      </c>
      <c r="G61" s="228">
        <f t="shared" si="23"/>
        <v>4057863</v>
      </c>
      <c r="H61" s="228">
        <f t="shared" si="23"/>
        <v>2899644</v>
      </c>
      <c r="I61" s="228">
        <f t="shared" si="23"/>
        <v>3256291</v>
      </c>
      <c r="J61" s="228">
        <f t="shared" si="23"/>
        <v>3598068</v>
      </c>
      <c r="K61" s="228">
        <f t="shared" si="23"/>
        <v>3614358</v>
      </c>
      <c r="L61" s="228">
        <f t="shared" si="23"/>
        <v>4933448</v>
      </c>
      <c r="M61" s="228">
        <f t="shared" si="23"/>
        <v>3770491</v>
      </c>
      <c r="N61" s="228">
        <f t="shared" si="23"/>
        <v>4966636</v>
      </c>
      <c r="O61" s="228">
        <f t="shared" si="23"/>
        <v>4433476</v>
      </c>
      <c r="P61" s="260">
        <f t="shared" si="23"/>
        <v>5507858</v>
      </c>
      <c r="Q61" s="260">
        <f t="shared" si="23"/>
        <v>4631986</v>
      </c>
      <c r="R61" s="260">
        <f t="shared" si="23"/>
        <v>4103140</v>
      </c>
      <c r="S61" s="260">
        <f t="shared" si="23"/>
        <v>3738589</v>
      </c>
      <c r="T61" s="260">
        <f t="shared" si="23"/>
        <v>3747849</v>
      </c>
      <c r="U61" s="260">
        <v>4054686</v>
      </c>
      <c r="V61" s="260">
        <v>4220089</v>
      </c>
      <c r="W61" s="260">
        <v>4736444</v>
      </c>
      <c r="X61" s="260">
        <f t="shared" ref="X61" si="24">SUM(X50:X60)</f>
        <v>4670170</v>
      </c>
      <c r="Y61" s="260">
        <f t="shared" ref="Y61" si="25">SUM(Y50:Y60)</f>
        <v>5460527</v>
      </c>
      <c r="Z61" s="260">
        <f t="shared" ref="Z61" si="26">SUM(Z50:Z60)</f>
        <v>5284982</v>
      </c>
    </row>
    <row r="62" spans="2:26" ht="14.1" customHeight="1">
      <c r="B62" s="229" t="s">
        <v>251</v>
      </c>
      <c r="C62" s="51"/>
      <c r="D62" s="51"/>
      <c r="E62" s="51"/>
      <c r="F62" s="51"/>
      <c r="G62" s="51"/>
      <c r="H62" s="51"/>
      <c r="I62" s="51"/>
      <c r="J62" s="51"/>
      <c r="K62" s="51"/>
      <c r="L62" s="451"/>
      <c r="M62" s="51"/>
      <c r="N62" s="51"/>
      <c r="O62" s="51"/>
      <c r="P62" s="261"/>
      <c r="Q62" s="261"/>
      <c r="R62" s="261"/>
      <c r="S62" s="261"/>
      <c r="T62" s="261"/>
      <c r="U62" s="261"/>
      <c r="V62" s="261"/>
      <c r="W62" s="261"/>
      <c r="X62" s="261"/>
    </row>
    <row r="63" spans="2:26">
      <c r="B63" s="38" t="s">
        <v>252</v>
      </c>
      <c r="C63" s="50"/>
      <c r="D63" s="50"/>
      <c r="E63" s="50"/>
      <c r="F63" s="50"/>
      <c r="G63" s="50"/>
      <c r="H63" s="50"/>
      <c r="I63" s="50"/>
      <c r="J63" s="50"/>
      <c r="K63" s="50"/>
      <c r="L63" s="259"/>
      <c r="M63" s="50"/>
      <c r="N63" s="50"/>
      <c r="O63" s="50"/>
      <c r="P63" s="257"/>
      <c r="Q63" s="257"/>
      <c r="R63" s="257"/>
      <c r="S63" s="257"/>
      <c r="X63" s="257"/>
    </row>
    <row r="64" spans="2:26">
      <c r="B64" s="38" t="s">
        <v>247</v>
      </c>
      <c r="C64" s="50" t="s">
        <v>214</v>
      </c>
      <c r="D64" s="50">
        <v>35674.210180000002</v>
      </c>
      <c r="E64" s="50">
        <v>41726</v>
      </c>
      <c r="F64" s="50">
        <v>42460</v>
      </c>
      <c r="G64" s="50">
        <v>43818</v>
      </c>
      <c r="H64" s="50">
        <v>42268</v>
      </c>
      <c r="I64" s="50">
        <v>44888</v>
      </c>
      <c r="J64" s="50">
        <v>47771</v>
      </c>
      <c r="K64" s="50">
        <v>47245</v>
      </c>
      <c r="L64" s="259">
        <v>46515</v>
      </c>
      <c r="M64" s="50">
        <v>46649</v>
      </c>
      <c r="N64" s="50">
        <v>46926</v>
      </c>
      <c r="O64" s="50">
        <v>46981</v>
      </c>
      <c r="P64" s="257">
        <v>46903</v>
      </c>
      <c r="Q64" s="257">
        <v>40249</v>
      </c>
      <c r="R64" s="257">
        <v>37057</v>
      </c>
      <c r="S64" s="257">
        <v>38409</v>
      </c>
      <c r="T64" s="257">
        <v>38968</v>
      </c>
      <c r="U64" s="257">
        <v>39521</v>
      </c>
      <c r="V64" s="257">
        <v>38263</v>
      </c>
      <c r="W64" s="257">
        <v>36716</v>
      </c>
      <c r="X64" s="257">
        <v>32173</v>
      </c>
      <c r="Y64" s="257">
        <v>19446</v>
      </c>
      <c r="Z64" s="257">
        <v>17853</v>
      </c>
    </row>
    <row r="65" spans="2:26">
      <c r="B65" s="38" t="s">
        <v>253</v>
      </c>
      <c r="C65" s="50">
        <v>10225808</v>
      </c>
      <c r="D65" s="50">
        <v>11213952</v>
      </c>
      <c r="E65" s="50">
        <v>11033751.786459999</v>
      </c>
      <c r="F65" s="50">
        <v>10865644</v>
      </c>
      <c r="G65" s="50">
        <v>11270412</v>
      </c>
      <c r="H65" s="50">
        <v>12047558</v>
      </c>
      <c r="I65" s="50">
        <v>12222686</v>
      </c>
      <c r="J65" s="50">
        <v>12500583</v>
      </c>
      <c r="K65" s="50">
        <v>12474048</v>
      </c>
      <c r="L65" s="259">
        <v>12599152</v>
      </c>
      <c r="M65" s="50">
        <v>12668940</v>
      </c>
      <c r="N65" s="50">
        <v>13075952</v>
      </c>
      <c r="O65" s="50">
        <v>13254427</v>
      </c>
      <c r="P65" s="257">
        <v>14167152</v>
      </c>
      <c r="Q65" s="257">
        <v>16221607</v>
      </c>
      <c r="R65" s="257">
        <v>17954227</v>
      </c>
      <c r="S65" s="257">
        <v>18477041</v>
      </c>
      <c r="T65" s="257">
        <v>19149637</v>
      </c>
      <c r="U65" s="257">
        <v>19704117</v>
      </c>
      <c r="V65" s="257">
        <v>20486333</v>
      </c>
      <c r="W65" s="257">
        <v>20666722</v>
      </c>
      <c r="X65" s="257">
        <v>20828913</v>
      </c>
      <c r="Y65" s="257">
        <v>21366576</v>
      </c>
      <c r="Z65" s="257">
        <v>21777199</v>
      </c>
    </row>
    <row r="66" spans="2:26">
      <c r="B66" s="38" t="s">
        <v>254</v>
      </c>
      <c r="C66" s="50">
        <v>1150358</v>
      </c>
      <c r="D66" s="50">
        <v>1312791</v>
      </c>
      <c r="E66" s="50">
        <v>1363119</v>
      </c>
      <c r="F66" s="50">
        <v>1409142</v>
      </c>
      <c r="G66" s="50">
        <v>1425474</v>
      </c>
      <c r="H66" s="50">
        <v>1426083</v>
      </c>
      <c r="I66" s="50">
        <v>1426613</v>
      </c>
      <c r="J66" s="50">
        <v>1473391</v>
      </c>
      <c r="K66" s="50">
        <v>1518151</v>
      </c>
      <c r="L66" s="259">
        <v>1576332</v>
      </c>
      <c r="M66" s="50">
        <v>1620971</v>
      </c>
      <c r="N66" s="50">
        <v>1668555</v>
      </c>
      <c r="O66" s="50">
        <v>1724394</v>
      </c>
      <c r="P66" s="257">
        <v>1778999</v>
      </c>
      <c r="Q66" s="257">
        <v>1821503</v>
      </c>
      <c r="R66" s="257">
        <v>1868048</v>
      </c>
      <c r="S66" s="257">
        <v>1911094</v>
      </c>
      <c r="T66" s="257">
        <v>1967747</v>
      </c>
      <c r="U66" s="257">
        <v>2013021</v>
      </c>
      <c r="V66" s="257">
        <v>2065840</v>
      </c>
      <c r="W66" s="257">
        <v>2111534</v>
      </c>
      <c r="X66" s="257">
        <v>2175500</v>
      </c>
      <c r="Y66" s="257">
        <v>2219384</v>
      </c>
      <c r="Z66" s="257">
        <v>2260631</v>
      </c>
    </row>
    <row r="67" spans="2:26">
      <c r="B67" s="38" t="s">
        <v>255</v>
      </c>
      <c r="C67" s="50">
        <v>0</v>
      </c>
      <c r="D67" s="50">
        <v>0</v>
      </c>
      <c r="E67" s="50">
        <v>0</v>
      </c>
      <c r="F67" s="50">
        <v>0</v>
      </c>
      <c r="G67" s="50">
        <v>0</v>
      </c>
      <c r="H67" s="50">
        <v>9037</v>
      </c>
      <c r="I67" s="50">
        <v>7665</v>
      </c>
      <c r="J67" s="50">
        <v>11872</v>
      </c>
      <c r="K67" s="50">
        <v>7861</v>
      </c>
      <c r="L67" s="259">
        <v>1144</v>
      </c>
      <c r="M67" s="50">
        <v>0</v>
      </c>
      <c r="N67" s="50">
        <v>0</v>
      </c>
      <c r="O67" s="50">
        <v>0</v>
      </c>
      <c r="P67" s="257">
        <v>0</v>
      </c>
      <c r="Q67" s="257">
        <v>0</v>
      </c>
      <c r="R67" s="257">
        <v>0</v>
      </c>
      <c r="S67" s="257" t="s">
        <v>214</v>
      </c>
      <c r="T67" s="257">
        <v>0</v>
      </c>
      <c r="U67" s="257">
        <v>0</v>
      </c>
      <c r="V67" s="257">
        <v>0</v>
      </c>
      <c r="W67" s="257">
        <v>0</v>
      </c>
      <c r="X67" s="257">
        <v>0</v>
      </c>
      <c r="Y67" s="257">
        <v>0</v>
      </c>
      <c r="Z67" s="257">
        <v>0</v>
      </c>
    </row>
    <row r="68" spans="2:26">
      <c r="B68" s="38" t="s">
        <v>256</v>
      </c>
      <c r="C68" s="50">
        <v>70175</v>
      </c>
      <c r="D68" s="50">
        <v>66414</v>
      </c>
      <c r="E68" s="50">
        <v>66571</v>
      </c>
      <c r="F68" s="50">
        <v>65070</v>
      </c>
      <c r="G68" s="50">
        <v>66816</v>
      </c>
      <c r="H68" s="50">
        <v>66987</v>
      </c>
      <c r="I68" s="50">
        <v>64874</v>
      </c>
      <c r="J68" s="50">
        <v>64007</v>
      </c>
      <c r="K68" s="50">
        <v>58867</v>
      </c>
      <c r="L68" s="259">
        <v>52886</v>
      </c>
      <c r="M68" s="50">
        <v>51597</v>
      </c>
      <c r="N68" s="50">
        <v>49133</v>
      </c>
      <c r="O68" s="50">
        <v>41575</v>
      </c>
      <c r="P68" s="257">
        <v>44119</v>
      </c>
      <c r="Q68" s="257">
        <v>47184</v>
      </c>
      <c r="R68" s="257">
        <v>45671</v>
      </c>
      <c r="S68" s="257">
        <v>45631</v>
      </c>
      <c r="T68" s="257">
        <v>46011</v>
      </c>
      <c r="U68" s="257">
        <v>46437</v>
      </c>
      <c r="V68" s="257">
        <v>43797</v>
      </c>
      <c r="W68" s="257">
        <v>42677</v>
      </c>
      <c r="X68" s="257">
        <v>41298</v>
      </c>
      <c r="Y68" s="257">
        <v>41756</v>
      </c>
      <c r="Z68" s="257">
        <v>41981</v>
      </c>
    </row>
    <row r="69" spans="2:26">
      <c r="B69" s="38" t="s">
        <v>242</v>
      </c>
      <c r="C69" s="50">
        <v>32512</v>
      </c>
      <c r="D69" s="50">
        <v>37034</v>
      </c>
      <c r="E69" s="50">
        <v>22968</v>
      </c>
      <c r="F69" s="50">
        <v>18250</v>
      </c>
      <c r="G69" s="50">
        <v>18055</v>
      </c>
      <c r="H69" s="50">
        <v>13551</v>
      </c>
      <c r="I69" s="50">
        <v>11798</v>
      </c>
      <c r="J69" s="50">
        <v>11909</v>
      </c>
      <c r="K69" s="50">
        <v>14771</v>
      </c>
      <c r="L69" s="259">
        <v>13005</v>
      </c>
      <c r="M69" s="50">
        <v>23089</v>
      </c>
      <c r="N69" s="50">
        <v>16835</v>
      </c>
      <c r="O69" s="50">
        <v>11210</v>
      </c>
      <c r="P69" s="257">
        <v>9997</v>
      </c>
      <c r="Q69" s="257">
        <v>12634</v>
      </c>
      <c r="R69" s="257">
        <v>11168</v>
      </c>
      <c r="S69" s="257">
        <v>12995</v>
      </c>
      <c r="T69" s="257">
        <v>12114</v>
      </c>
      <c r="U69" s="257">
        <v>18605</v>
      </c>
      <c r="V69" s="257">
        <v>16223</v>
      </c>
      <c r="W69" s="257">
        <v>20681</v>
      </c>
      <c r="X69" s="257">
        <v>48280</v>
      </c>
      <c r="Y69" s="257">
        <v>54836</v>
      </c>
      <c r="Z69" s="257">
        <v>90803</v>
      </c>
    </row>
    <row r="70" spans="2:26">
      <c r="B70" s="38" t="s">
        <v>257</v>
      </c>
      <c r="C70" s="50">
        <v>0</v>
      </c>
      <c r="D70" s="50">
        <v>0</v>
      </c>
      <c r="E70" s="50">
        <v>0</v>
      </c>
      <c r="F70" s="50">
        <v>0</v>
      </c>
      <c r="G70" s="50">
        <v>0</v>
      </c>
      <c r="H70" s="50">
        <v>105444</v>
      </c>
      <c r="I70" s="50">
        <v>105444</v>
      </c>
      <c r="J70" s="50">
        <v>105444</v>
      </c>
      <c r="K70" s="50">
        <v>105444</v>
      </c>
      <c r="L70" s="259">
        <v>43024</v>
      </c>
      <c r="M70" s="50">
        <v>43024</v>
      </c>
      <c r="N70" s="50">
        <v>43024</v>
      </c>
      <c r="O70" s="50">
        <v>43024</v>
      </c>
      <c r="P70" s="257">
        <v>0</v>
      </c>
      <c r="Q70" s="257">
        <v>0</v>
      </c>
      <c r="R70" s="257">
        <v>0</v>
      </c>
      <c r="S70" s="257">
        <v>0</v>
      </c>
      <c r="T70" s="257">
        <v>0</v>
      </c>
      <c r="U70" s="257">
        <v>0</v>
      </c>
      <c r="V70" s="257">
        <v>0</v>
      </c>
      <c r="W70" s="257">
        <v>0</v>
      </c>
      <c r="X70" s="257">
        <v>0</v>
      </c>
      <c r="Y70" s="257">
        <v>0</v>
      </c>
      <c r="Z70" s="257">
        <v>0</v>
      </c>
    </row>
    <row r="71" spans="2:26">
      <c r="B71" s="38" t="s">
        <v>244</v>
      </c>
      <c r="C71" s="50">
        <v>0</v>
      </c>
      <c r="D71" s="50">
        <v>0</v>
      </c>
      <c r="E71" s="50">
        <v>0</v>
      </c>
      <c r="F71" s="50">
        <v>0</v>
      </c>
      <c r="G71" s="50">
        <v>11861</v>
      </c>
      <c r="H71" s="50">
        <v>2643</v>
      </c>
      <c r="I71" s="50">
        <v>10771</v>
      </c>
      <c r="J71" s="50">
        <v>0</v>
      </c>
      <c r="K71" s="50">
        <v>1962</v>
      </c>
      <c r="L71" s="259">
        <v>0</v>
      </c>
      <c r="M71" s="50">
        <v>3068</v>
      </c>
      <c r="N71" s="50">
        <v>3546</v>
      </c>
      <c r="O71" s="50">
        <v>4056</v>
      </c>
      <c r="P71" s="257">
        <v>226</v>
      </c>
      <c r="Q71" s="257">
        <v>18417</v>
      </c>
      <c r="R71" s="257">
        <v>403</v>
      </c>
      <c r="S71" s="257">
        <v>14360</v>
      </c>
      <c r="T71" s="257">
        <v>18250</v>
      </c>
      <c r="U71" s="257">
        <v>0</v>
      </c>
      <c r="V71" s="257">
        <v>2008</v>
      </c>
      <c r="W71" s="257">
        <v>0</v>
      </c>
      <c r="X71" s="257">
        <v>0</v>
      </c>
      <c r="Y71" s="257">
        <v>0</v>
      </c>
      <c r="Z71" s="257">
        <v>0</v>
      </c>
    </row>
    <row r="72" spans="2:26">
      <c r="B72" s="38" t="s">
        <v>215</v>
      </c>
      <c r="C72" s="50">
        <v>13572</v>
      </c>
      <c r="D72" s="50">
        <v>1513</v>
      </c>
      <c r="E72" s="50">
        <v>1502</v>
      </c>
      <c r="F72" s="50">
        <v>12493</v>
      </c>
      <c r="G72" s="50">
        <v>12490</v>
      </c>
      <c r="H72" s="50">
        <v>25236</v>
      </c>
      <c r="I72" s="50">
        <v>26954</v>
      </c>
      <c r="J72" s="50">
        <v>28724</v>
      </c>
      <c r="K72" s="50">
        <v>32895</v>
      </c>
      <c r="L72" s="259">
        <v>24011</v>
      </c>
      <c r="M72" s="50">
        <v>25926</v>
      </c>
      <c r="N72" s="50">
        <v>108900</v>
      </c>
      <c r="O72" s="50">
        <v>108905</v>
      </c>
      <c r="P72" s="257">
        <v>110310</v>
      </c>
      <c r="Q72" s="257">
        <v>114129</v>
      </c>
      <c r="R72" s="257">
        <v>118801</v>
      </c>
      <c r="S72" s="257">
        <v>109649</v>
      </c>
      <c r="T72" s="257">
        <v>106982</v>
      </c>
      <c r="U72" s="257">
        <v>90063</v>
      </c>
      <c r="V72" s="257">
        <v>61751</v>
      </c>
      <c r="W72" s="257">
        <v>61742</v>
      </c>
      <c r="X72" s="257">
        <v>61733</v>
      </c>
      <c r="Y72" s="257">
        <v>60461</v>
      </c>
      <c r="Z72" s="257">
        <v>62303</v>
      </c>
    </row>
    <row r="73" spans="2:26">
      <c r="B73" s="38" t="s">
        <v>258</v>
      </c>
      <c r="C73" s="50">
        <v>1826930</v>
      </c>
      <c r="D73" s="50">
        <v>1880845</v>
      </c>
      <c r="E73" s="50">
        <v>1915916</v>
      </c>
      <c r="F73" s="50">
        <v>1943473</v>
      </c>
      <c r="G73" s="50">
        <v>1944839</v>
      </c>
      <c r="H73" s="50">
        <v>1848092</v>
      </c>
      <c r="I73" s="50">
        <v>1917881</v>
      </c>
      <c r="J73" s="50">
        <v>1966285</v>
      </c>
      <c r="K73" s="50">
        <v>2037978</v>
      </c>
      <c r="L73" s="259">
        <v>2198004</v>
      </c>
      <c r="M73" s="50">
        <v>2360020</v>
      </c>
      <c r="N73" s="50">
        <v>2334045</v>
      </c>
      <c r="O73" s="50">
        <v>2384120</v>
      </c>
      <c r="P73" s="257">
        <v>2928478</v>
      </c>
      <c r="Q73" s="257">
        <v>3001178</v>
      </c>
      <c r="R73" s="257">
        <v>3124557</v>
      </c>
      <c r="S73" s="257">
        <v>3253229</v>
      </c>
      <c r="T73" s="257">
        <v>3299479</v>
      </c>
      <c r="U73" s="257">
        <v>3462388</v>
      </c>
      <c r="V73" s="257">
        <v>3686260</v>
      </c>
      <c r="W73" s="257">
        <v>3847568</v>
      </c>
      <c r="X73" s="257">
        <v>3794693</v>
      </c>
      <c r="Y73" s="257">
        <v>3942238</v>
      </c>
      <c r="Z73" s="257">
        <v>4053868</v>
      </c>
    </row>
    <row r="74" spans="2:26">
      <c r="B74" s="38" t="s">
        <v>259</v>
      </c>
      <c r="C74" s="50">
        <v>25457.256999999987</v>
      </c>
      <c r="D74" s="50">
        <v>22879.430109999994</v>
      </c>
      <c r="E74" s="50">
        <v>23656</v>
      </c>
      <c r="F74" s="50">
        <v>22868</v>
      </c>
      <c r="G74" s="50">
        <v>23870</v>
      </c>
      <c r="H74" s="50">
        <v>25539</v>
      </c>
      <c r="I74" s="50">
        <v>45400</v>
      </c>
      <c r="J74" s="50">
        <v>73791</v>
      </c>
      <c r="K74" s="50">
        <v>75697</v>
      </c>
      <c r="L74" s="259">
        <v>86377</v>
      </c>
      <c r="M74" s="50">
        <v>93465</v>
      </c>
      <c r="N74" s="50">
        <v>92414</v>
      </c>
      <c r="O74" s="50">
        <v>91002</v>
      </c>
      <c r="P74" s="257">
        <v>92991</v>
      </c>
      <c r="Q74" s="257">
        <v>90195</v>
      </c>
      <c r="R74" s="257">
        <v>98435</v>
      </c>
      <c r="S74" s="257">
        <v>96878</v>
      </c>
      <c r="T74" s="257">
        <v>93265</v>
      </c>
      <c r="U74" s="257">
        <v>88965</v>
      </c>
      <c r="V74" s="257">
        <v>89864</v>
      </c>
      <c r="W74" s="257">
        <v>99988</v>
      </c>
      <c r="X74" s="257">
        <v>114932</v>
      </c>
      <c r="Y74" s="257">
        <v>116665</v>
      </c>
      <c r="Z74" s="257">
        <v>104361</v>
      </c>
    </row>
    <row r="75" spans="2:26">
      <c r="B75" s="38" t="s">
        <v>260</v>
      </c>
      <c r="C75" s="50">
        <v>41843.266820000004</v>
      </c>
      <c r="D75" s="50">
        <v>37361.569890000006</v>
      </c>
      <c r="E75" s="50">
        <v>35535</v>
      </c>
      <c r="F75" s="50">
        <v>34404</v>
      </c>
      <c r="G75" s="50">
        <v>31630</v>
      </c>
      <c r="H75" s="50">
        <v>30142</v>
      </c>
      <c r="I75" s="50">
        <v>28136</v>
      </c>
      <c r="J75" s="50">
        <v>26692</v>
      </c>
      <c r="K75" s="50">
        <v>25069</v>
      </c>
      <c r="L75" s="259">
        <v>25196</v>
      </c>
      <c r="M75" s="50">
        <v>24227</v>
      </c>
      <c r="N75" s="50">
        <v>25603</v>
      </c>
      <c r="O75" s="50">
        <v>25377</v>
      </c>
      <c r="P75" s="257">
        <v>24499</v>
      </c>
      <c r="Q75" s="257">
        <v>506317</v>
      </c>
      <c r="R75" s="257">
        <v>508024</v>
      </c>
      <c r="S75" s="257">
        <v>496021</v>
      </c>
      <c r="T75" s="257">
        <v>496437</v>
      </c>
      <c r="U75" s="257">
        <v>490592</v>
      </c>
      <c r="V75" s="257">
        <v>482673</v>
      </c>
      <c r="W75" s="257">
        <v>476745</v>
      </c>
      <c r="X75" s="257">
        <v>475858</v>
      </c>
      <c r="Y75" s="257">
        <v>467812</v>
      </c>
      <c r="Z75" s="257">
        <v>467236</v>
      </c>
    </row>
    <row r="76" spans="2:26">
      <c r="B76" s="227" t="s">
        <v>261</v>
      </c>
      <c r="C76" s="228">
        <f t="shared" ref="C76:S76" si="27">SUM(C73:C75,C64:C72)</f>
        <v>13386655.52382</v>
      </c>
      <c r="D76" s="228">
        <f t="shared" si="27"/>
        <v>14608464.210179999</v>
      </c>
      <c r="E76" s="228">
        <f t="shared" si="27"/>
        <v>14504744.786459999</v>
      </c>
      <c r="F76" s="228">
        <f t="shared" si="27"/>
        <v>14413804</v>
      </c>
      <c r="G76" s="228">
        <f t="shared" si="27"/>
        <v>14849265</v>
      </c>
      <c r="H76" s="228">
        <f t="shared" si="27"/>
        <v>15642580</v>
      </c>
      <c r="I76" s="228">
        <f t="shared" si="27"/>
        <v>15913110</v>
      </c>
      <c r="J76" s="228">
        <f t="shared" si="27"/>
        <v>16310469</v>
      </c>
      <c r="K76" s="228">
        <f t="shared" si="27"/>
        <v>16399988</v>
      </c>
      <c r="L76" s="228">
        <f t="shared" si="27"/>
        <v>16665646</v>
      </c>
      <c r="M76" s="228">
        <f t="shared" si="27"/>
        <v>16960976</v>
      </c>
      <c r="N76" s="228">
        <f t="shared" si="27"/>
        <v>17464933</v>
      </c>
      <c r="O76" s="228">
        <f t="shared" si="27"/>
        <v>17735071</v>
      </c>
      <c r="P76" s="260">
        <f t="shared" si="27"/>
        <v>19203674</v>
      </c>
      <c r="Q76" s="260">
        <f t="shared" si="27"/>
        <v>21873413</v>
      </c>
      <c r="R76" s="260">
        <f t="shared" si="27"/>
        <v>23766391</v>
      </c>
      <c r="S76" s="260">
        <f t="shared" si="27"/>
        <v>24455307</v>
      </c>
      <c r="T76" s="260">
        <f t="shared" ref="T76" si="28">SUM(T73:T75,T63:T72)</f>
        <v>25228890</v>
      </c>
      <c r="U76" s="260">
        <v>25953709</v>
      </c>
      <c r="V76" s="260">
        <v>26973012</v>
      </c>
      <c r="W76" s="260">
        <v>27364373</v>
      </c>
      <c r="X76" s="260">
        <f t="shared" ref="X76:Y76" si="29">SUM(X73:X75,X63:X72)</f>
        <v>27573380</v>
      </c>
      <c r="Y76" s="260">
        <f t="shared" si="29"/>
        <v>28289174</v>
      </c>
      <c r="Z76" s="260">
        <v>28876235</v>
      </c>
    </row>
    <row r="77" spans="2:26">
      <c r="B77" s="227" t="s">
        <v>262</v>
      </c>
      <c r="C77" s="228">
        <f t="shared" ref="C77:S77" si="30">SUM(C76+C61)</f>
        <v>15066999.52382</v>
      </c>
      <c r="D77" s="228">
        <f t="shared" si="30"/>
        <v>17252173.11524</v>
      </c>
      <c r="E77" s="228">
        <f t="shared" si="30"/>
        <v>17417558</v>
      </c>
      <c r="F77" s="228">
        <f t="shared" si="30"/>
        <v>17534705</v>
      </c>
      <c r="G77" s="228">
        <f t="shared" si="30"/>
        <v>18907128</v>
      </c>
      <c r="H77" s="228">
        <f t="shared" si="30"/>
        <v>18542224</v>
      </c>
      <c r="I77" s="228">
        <f t="shared" si="30"/>
        <v>19169401</v>
      </c>
      <c r="J77" s="228">
        <f t="shared" si="30"/>
        <v>19908537</v>
      </c>
      <c r="K77" s="228">
        <f t="shared" si="30"/>
        <v>20014346</v>
      </c>
      <c r="L77" s="228">
        <f t="shared" si="30"/>
        <v>21599094</v>
      </c>
      <c r="M77" s="228">
        <f t="shared" si="30"/>
        <v>20731467</v>
      </c>
      <c r="N77" s="228">
        <f t="shared" si="30"/>
        <v>22431569</v>
      </c>
      <c r="O77" s="228">
        <f t="shared" si="30"/>
        <v>22168547</v>
      </c>
      <c r="P77" s="260">
        <f t="shared" si="30"/>
        <v>24711532</v>
      </c>
      <c r="Q77" s="260">
        <f t="shared" si="30"/>
        <v>26505399</v>
      </c>
      <c r="R77" s="260">
        <f t="shared" si="30"/>
        <v>27869531</v>
      </c>
      <c r="S77" s="260">
        <f t="shared" si="30"/>
        <v>28193896</v>
      </c>
      <c r="T77" s="260">
        <f>SUM(T76+T61)</f>
        <v>28976739</v>
      </c>
      <c r="U77" s="260">
        <v>30008395</v>
      </c>
      <c r="V77" s="260">
        <v>31193101</v>
      </c>
      <c r="W77" s="260">
        <v>32100817</v>
      </c>
      <c r="X77" s="260">
        <f>SUM(X76+X61)</f>
        <v>32243550</v>
      </c>
      <c r="Y77" s="260">
        <f>SUM(Y76+Y61)</f>
        <v>33749701</v>
      </c>
      <c r="Z77" s="260">
        <v>34161217</v>
      </c>
    </row>
    <row r="78" spans="2:26" s="36" customFormat="1">
      <c r="B78"/>
      <c r="C78" s="230"/>
      <c r="D78" s="230"/>
      <c r="E78" s="230"/>
      <c r="F78" s="48"/>
      <c r="G78" s="48"/>
      <c r="H78" s="48"/>
      <c r="I78" s="48"/>
      <c r="J78" s="48"/>
      <c r="K78" s="48"/>
      <c r="L78" s="452"/>
      <c r="M78" s="48"/>
      <c r="N78" s="48"/>
      <c r="O78" s="48"/>
      <c r="P78" s="263"/>
      <c r="Q78" s="263"/>
      <c r="R78" s="263"/>
    </row>
    <row r="79" spans="2:26">
      <c r="B79" s="473" t="s">
        <v>263</v>
      </c>
      <c r="C79" s="461"/>
      <c r="D79" s="462"/>
      <c r="E79" s="462"/>
      <c r="F79" s="462"/>
      <c r="G79" s="462"/>
      <c r="H79" s="462"/>
      <c r="I79" s="462"/>
      <c r="J79" s="462"/>
      <c r="K79" s="462"/>
      <c r="L79" s="474"/>
      <c r="M79" s="462"/>
      <c r="N79" s="462"/>
      <c r="O79" s="462"/>
      <c r="P79" s="463"/>
      <c r="Q79" s="463"/>
      <c r="R79" s="463"/>
      <c r="S79" s="463"/>
      <c r="T79" s="463"/>
      <c r="U79" s="463"/>
      <c r="V79" s="463"/>
      <c r="W79" s="463"/>
      <c r="X79" s="463"/>
      <c r="Y79" s="463"/>
      <c r="Z79" s="463"/>
    </row>
    <row r="80" spans="2:26">
      <c r="B80" s="473" t="s">
        <v>264</v>
      </c>
      <c r="C80" s="461"/>
      <c r="D80" s="462"/>
      <c r="E80" s="462"/>
      <c r="F80" s="462"/>
      <c r="G80" s="462"/>
      <c r="H80" s="462"/>
      <c r="I80" s="462"/>
      <c r="J80" s="462"/>
      <c r="K80" s="462"/>
      <c r="L80" s="474"/>
      <c r="M80" s="462"/>
      <c r="N80" s="462"/>
      <c r="O80" s="462"/>
      <c r="P80" s="463"/>
      <c r="Q80" s="463"/>
      <c r="R80" s="463"/>
      <c r="S80" s="463"/>
      <c r="T80" s="463"/>
      <c r="U80" s="463"/>
      <c r="V80" s="463">
        <v>0</v>
      </c>
      <c r="W80" s="463"/>
      <c r="X80" s="463"/>
      <c r="Y80" s="463"/>
      <c r="Z80" s="463"/>
    </row>
    <row r="81" spans="2:26">
      <c r="B81" s="225" t="s">
        <v>238</v>
      </c>
      <c r="C81" s="226"/>
      <c r="D81" s="226"/>
      <c r="E81" s="226"/>
      <c r="F81" s="225"/>
      <c r="G81" s="225"/>
      <c r="H81" s="225"/>
      <c r="I81" s="225"/>
      <c r="J81" s="225"/>
      <c r="K81" s="225"/>
      <c r="L81" s="453"/>
      <c r="M81" s="225"/>
      <c r="N81" s="225"/>
      <c r="O81" s="225"/>
      <c r="P81" s="262"/>
      <c r="Q81" s="262"/>
      <c r="R81" s="262"/>
      <c r="S81" s="262"/>
      <c r="T81" s="262"/>
      <c r="X81" s="262"/>
    </row>
    <row r="82" spans="2:26">
      <c r="B82" s="38" t="s">
        <v>265</v>
      </c>
      <c r="C82" s="50">
        <v>71679</v>
      </c>
      <c r="D82" s="50">
        <v>268588</v>
      </c>
      <c r="E82" s="50">
        <v>261786</v>
      </c>
      <c r="F82" s="50">
        <v>287106</v>
      </c>
      <c r="G82" s="50">
        <v>98254</v>
      </c>
      <c r="H82" s="50">
        <v>334067</v>
      </c>
      <c r="I82" s="50">
        <v>344159</v>
      </c>
      <c r="J82" s="50">
        <v>337582</v>
      </c>
      <c r="K82" s="50">
        <v>981588</v>
      </c>
      <c r="L82" s="259">
        <v>709928</v>
      </c>
      <c r="M82" s="50">
        <v>886355</v>
      </c>
      <c r="N82" s="50">
        <v>919444</v>
      </c>
      <c r="O82" s="50">
        <v>96334</v>
      </c>
      <c r="P82" s="257">
        <v>94628</v>
      </c>
      <c r="Q82" s="257">
        <v>461788</v>
      </c>
      <c r="R82" s="257">
        <v>1113809</v>
      </c>
      <c r="S82" s="234">
        <v>737590</v>
      </c>
      <c r="T82" s="234">
        <v>741848</v>
      </c>
      <c r="U82" s="234">
        <v>751685</v>
      </c>
      <c r="V82" s="234">
        <v>90627</v>
      </c>
      <c r="W82" s="234">
        <v>90437</v>
      </c>
      <c r="X82" s="234">
        <v>0</v>
      </c>
      <c r="Y82" s="234">
        <v>0</v>
      </c>
      <c r="Z82" s="234"/>
    </row>
    <row r="83" spans="2:26">
      <c r="B83" s="38" t="s">
        <v>266</v>
      </c>
      <c r="C83" s="50">
        <v>192368</v>
      </c>
      <c r="D83" s="50">
        <v>182852</v>
      </c>
      <c r="E83" s="50">
        <v>183773</v>
      </c>
      <c r="F83" s="50">
        <v>183474</v>
      </c>
      <c r="G83" s="50">
        <v>197107</v>
      </c>
      <c r="H83" s="50">
        <v>23707</v>
      </c>
      <c r="I83" s="50">
        <v>22436</v>
      </c>
      <c r="J83" s="50">
        <v>15931</v>
      </c>
      <c r="K83" s="50">
        <v>26097</v>
      </c>
      <c r="L83" s="259">
        <v>367508</v>
      </c>
      <c r="M83" s="50">
        <v>371913</v>
      </c>
      <c r="N83" s="50">
        <v>363141</v>
      </c>
      <c r="O83" s="50">
        <v>542316</v>
      </c>
      <c r="P83" s="257">
        <v>217948</v>
      </c>
      <c r="Q83" s="257">
        <v>245489</v>
      </c>
      <c r="R83" s="257">
        <v>242011</v>
      </c>
      <c r="S83" s="234">
        <v>96144</v>
      </c>
      <c r="T83" s="234">
        <v>59341</v>
      </c>
      <c r="U83" s="234">
        <v>108342</v>
      </c>
      <c r="V83" s="234">
        <v>79687</v>
      </c>
      <c r="W83" s="234">
        <v>178054</v>
      </c>
      <c r="X83" s="234">
        <v>78060</v>
      </c>
      <c r="Y83" s="234">
        <v>76659</v>
      </c>
      <c r="Z83" s="234">
        <v>1598935</v>
      </c>
    </row>
    <row r="84" spans="2:26">
      <c r="B84" s="38" t="s">
        <v>267</v>
      </c>
      <c r="C84" s="50">
        <v>0</v>
      </c>
      <c r="D84" s="50">
        <v>0</v>
      </c>
      <c r="E84" s="50">
        <v>0</v>
      </c>
      <c r="F84" s="50">
        <v>0</v>
      </c>
      <c r="G84" s="50">
        <v>0</v>
      </c>
      <c r="H84" s="50">
        <v>0</v>
      </c>
      <c r="I84" s="50">
        <v>0</v>
      </c>
      <c r="J84" s="50">
        <v>7693</v>
      </c>
      <c r="K84" s="50">
        <v>0</v>
      </c>
      <c r="L84" s="259">
        <v>9948</v>
      </c>
      <c r="M84" s="50">
        <v>0</v>
      </c>
      <c r="N84" s="50">
        <v>0</v>
      </c>
      <c r="O84" s="50">
        <v>10601</v>
      </c>
      <c r="P84" s="257">
        <v>8795</v>
      </c>
      <c r="Q84" s="257">
        <v>7816</v>
      </c>
      <c r="R84" s="257">
        <v>11139</v>
      </c>
      <c r="S84" s="234">
        <v>12359</v>
      </c>
      <c r="T84" s="234">
        <v>11911</v>
      </c>
      <c r="U84" s="234">
        <v>11703</v>
      </c>
      <c r="V84" s="234">
        <v>12875</v>
      </c>
      <c r="W84" s="234">
        <v>13896</v>
      </c>
      <c r="X84" s="234">
        <v>88833</v>
      </c>
      <c r="Y84" s="234">
        <v>577160</v>
      </c>
      <c r="Z84" s="234">
        <v>515516</v>
      </c>
    </row>
    <row r="85" spans="2:26">
      <c r="B85" s="38" t="s">
        <v>244</v>
      </c>
      <c r="C85" s="50">
        <v>0</v>
      </c>
      <c r="D85" s="50">
        <v>0</v>
      </c>
      <c r="E85" s="50">
        <v>0</v>
      </c>
      <c r="F85" s="50">
        <v>0</v>
      </c>
      <c r="G85" s="50">
        <v>0</v>
      </c>
      <c r="H85" s="50">
        <v>0</v>
      </c>
      <c r="I85" s="50">
        <v>10565</v>
      </c>
      <c r="J85" s="50">
        <v>0</v>
      </c>
      <c r="K85" s="50">
        <v>9772</v>
      </c>
      <c r="L85" s="263" t="s">
        <v>214</v>
      </c>
      <c r="M85" s="50">
        <v>9456</v>
      </c>
      <c r="N85" s="50">
        <v>11179</v>
      </c>
      <c r="O85" s="50">
        <v>0</v>
      </c>
      <c r="P85" s="263" t="s">
        <v>214</v>
      </c>
      <c r="Q85" s="263" t="s">
        <v>214</v>
      </c>
      <c r="R85" s="263" t="s">
        <v>214</v>
      </c>
      <c r="S85" s="234" t="s">
        <v>214</v>
      </c>
      <c r="T85" s="234">
        <v>1931</v>
      </c>
      <c r="U85" s="234">
        <v>18142</v>
      </c>
      <c r="V85" s="234">
        <v>4263</v>
      </c>
      <c r="W85" s="234">
        <v>10</v>
      </c>
      <c r="X85" s="234">
        <v>14124</v>
      </c>
      <c r="Y85" s="234">
        <v>13930</v>
      </c>
      <c r="Z85" s="234">
        <v>9387</v>
      </c>
    </row>
    <row r="86" spans="2:26">
      <c r="B86" s="38" t="s">
        <v>268</v>
      </c>
      <c r="C86" s="50">
        <v>41482</v>
      </c>
      <c r="D86" s="50">
        <v>69923</v>
      </c>
      <c r="E86" s="50">
        <v>49255</v>
      </c>
      <c r="F86" s="50">
        <v>58806</v>
      </c>
      <c r="G86" s="50">
        <v>68022</v>
      </c>
      <c r="H86" s="50">
        <v>88358</v>
      </c>
      <c r="I86" s="50">
        <v>72276</v>
      </c>
      <c r="J86" s="50">
        <v>70721</v>
      </c>
      <c r="K86" s="50">
        <v>72057</v>
      </c>
      <c r="L86" s="259">
        <v>167774</v>
      </c>
      <c r="M86" s="50">
        <v>167858</v>
      </c>
      <c r="N86" s="50">
        <v>139217</v>
      </c>
      <c r="O86" s="50">
        <v>112304</v>
      </c>
      <c r="P86" s="257">
        <v>153346</v>
      </c>
      <c r="Q86" s="257">
        <v>100371</v>
      </c>
      <c r="R86" s="257">
        <v>90525</v>
      </c>
      <c r="S86" s="234">
        <v>70097</v>
      </c>
      <c r="T86" s="234">
        <v>83666</v>
      </c>
      <c r="U86" s="234">
        <v>83243</v>
      </c>
      <c r="V86" s="234">
        <v>86641</v>
      </c>
      <c r="W86" s="234">
        <v>144466</v>
      </c>
      <c r="X86" s="234">
        <v>0</v>
      </c>
      <c r="Y86" s="234">
        <v>378</v>
      </c>
      <c r="Z86" s="234">
        <v>4076</v>
      </c>
    </row>
    <row r="87" spans="2:26">
      <c r="B87" s="38" t="s">
        <v>269</v>
      </c>
      <c r="C87" s="50">
        <v>30053</v>
      </c>
      <c r="D87" s="50">
        <v>90502</v>
      </c>
      <c r="E87" s="50">
        <v>224543</v>
      </c>
      <c r="F87" s="50">
        <v>389278</v>
      </c>
      <c r="G87" s="50">
        <v>540175</v>
      </c>
      <c r="H87" s="50">
        <v>54382</v>
      </c>
      <c r="I87" s="50">
        <v>163259</v>
      </c>
      <c r="J87" s="50">
        <v>293111</v>
      </c>
      <c r="K87" s="50">
        <v>287386</v>
      </c>
      <c r="L87" s="259">
        <v>92106</v>
      </c>
      <c r="M87" s="50">
        <v>127657</v>
      </c>
      <c r="N87" s="50">
        <v>262320</v>
      </c>
      <c r="O87" s="50">
        <v>478040</v>
      </c>
      <c r="P87" s="257">
        <v>255614</v>
      </c>
      <c r="Q87" s="257">
        <v>268737</v>
      </c>
      <c r="R87" s="257">
        <v>394093</v>
      </c>
      <c r="S87" s="234">
        <v>483446</v>
      </c>
      <c r="T87" s="234">
        <v>61025</v>
      </c>
      <c r="U87" s="234">
        <v>94811</v>
      </c>
      <c r="V87" s="234">
        <v>108631</v>
      </c>
      <c r="W87" s="234">
        <v>255968</v>
      </c>
      <c r="X87" s="234">
        <v>111557</v>
      </c>
      <c r="Y87" s="234">
        <v>95999</v>
      </c>
      <c r="Z87" s="234">
        <v>152950</v>
      </c>
    </row>
    <row r="88" spans="2:26">
      <c r="B88" s="38" t="s">
        <v>270</v>
      </c>
      <c r="C88" s="50">
        <v>17540</v>
      </c>
      <c r="D88" s="50">
        <v>57997</v>
      </c>
      <c r="E88" s="50">
        <v>0</v>
      </c>
      <c r="F88" s="50">
        <v>0</v>
      </c>
      <c r="G88" s="50">
        <v>0</v>
      </c>
      <c r="H88" s="50">
        <v>0</v>
      </c>
      <c r="I88" s="50">
        <v>0</v>
      </c>
      <c r="J88" s="50">
        <v>0</v>
      </c>
      <c r="K88" s="50">
        <v>0</v>
      </c>
      <c r="L88" s="259">
        <v>0</v>
      </c>
      <c r="M88" s="50">
        <v>0</v>
      </c>
      <c r="N88" s="50">
        <v>0</v>
      </c>
      <c r="O88" s="50">
        <v>0</v>
      </c>
      <c r="P88" s="257">
        <v>0</v>
      </c>
      <c r="Q88" s="257">
        <v>0</v>
      </c>
      <c r="R88" s="257">
        <v>0</v>
      </c>
      <c r="S88" s="234">
        <v>0</v>
      </c>
      <c r="T88" s="234">
        <v>0</v>
      </c>
      <c r="U88" s="234">
        <v>0</v>
      </c>
      <c r="V88" s="234">
        <v>0</v>
      </c>
      <c r="W88" s="234">
        <v>0</v>
      </c>
      <c r="X88" s="234">
        <v>197315</v>
      </c>
      <c r="Y88" s="234">
        <v>189669</v>
      </c>
      <c r="Z88" s="234">
        <v>290418</v>
      </c>
    </row>
    <row r="89" spans="2:26">
      <c r="B89" s="38" t="s">
        <v>271</v>
      </c>
      <c r="C89" s="50">
        <v>12751</v>
      </c>
      <c r="D89" s="50">
        <v>16550</v>
      </c>
      <c r="E89" s="50">
        <v>32399</v>
      </c>
      <c r="F89" s="50">
        <v>39059</v>
      </c>
      <c r="G89" s="50">
        <v>39260</v>
      </c>
      <c r="H89" s="50">
        <v>40262</v>
      </c>
      <c r="I89" s="50">
        <v>39302</v>
      </c>
      <c r="J89" s="50">
        <v>44878</v>
      </c>
      <c r="K89" s="50">
        <v>45687</v>
      </c>
      <c r="L89" s="259">
        <v>48336</v>
      </c>
      <c r="M89" s="50">
        <v>48970</v>
      </c>
      <c r="N89" s="50">
        <v>52653</v>
      </c>
      <c r="O89" s="50">
        <v>52518</v>
      </c>
      <c r="P89" s="257">
        <v>49457</v>
      </c>
      <c r="Q89" s="257">
        <v>44836</v>
      </c>
      <c r="R89" s="257">
        <v>34900</v>
      </c>
      <c r="S89" s="234">
        <v>48778</v>
      </c>
      <c r="T89" s="234">
        <v>60851</v>
      </c>
      <c r="U89" s="234">
        <v>65207</v>
      </c>
      <c r="V89" s="234">
        <v>77913</v>
      </c>
      <c r="W89" s="234">
        <v>78654</v>
      </c>
      <c r="X89" s="234">
        <v>0</v>
      </c>
      <c r="Y89" s="234">
        <v>0</v>
      </c>
      <c r="Z89" s="234"/>
    </row>
    <row r="90" spans="2:26">
      <c r="B90" s="38" t="s">
        <v>272</v>
      </c>
      <c r="C90" s="50"/>
      <c r="D90" s="50"/>
      <c r="E90" s="50"/>
      <c r="F90" s="50"/>
      <c r="G90" s="50"/>
      <c r="H90" s="50"/>
      <c r="I90" s="50"/>
      <c r="J90" s="50"/>
      <c r="K90" s="50"/>
      <c r="L90" s="259"/>
      <c r="M90" s="50"/>
      <c r="N90" s="50"/>
      <c r="O90" s="50"/>
      <c r="P90" s="257" t="s">
        <v>214</v>
      </c>
      <c r="Q90" s="257">
        <v>67260</v>
      </c>
      <c r="R90" s="257">
        <v>0</v>
      </c>
      <c r="S90" s="234" t="s">
        <v>214</v>
      </c>
      <c r="T90" s="234">
        <v>0</v>
      </c>
      <c r="U90" s="234">
        <v>0</v>
      </c>
      <c r="V90" s="234">
        <v>0</v>
      </c>
      <c r="W90" s="234">
        <v>0</v>
      </c>
      <c r="X90" s="234">
        <v>63287</v>
      </c>
      <c r="Y90" s="234">
        <v>69876</v>
      </c>
      <c r="Z90" s="234">
        <v>60026</v>
      </c>
    </row>
    <row r="91" spans="2:26">
      <c r="B91" s="38" t="s">
        <v>273</v>
      </c>
      <c r="C91" s="50">
        <v>139946</v>
      </c>
      <c r="D91" s="50">
        <v>3112</v>
      </c>
      <c r="E91" s="50">
        <v>3111</v>
      </c>
      <c r="F91" s="50">
        <v>5159</v>
      </c>
      <c r="G91" s="50">
        <v>5137</v>
      </c>
      <c r="H91" s="50">
        <v>7835</v>
      </c>
      <c r="I91" s="50">
        <v>7831</v>
      </c>
      <c r="J91" s="50">
        <v>7798</v>
      </c>
      <c r="K91" s="50">
        <v>8411</v>
      </c>
      <c r="L91" s="259">
        <v>102079</v>
      </c>
      <c r="M91" s="50">
        <v>9731</v>
      </c>
      <c r="N91" s="50">
        <v>10102</v>
      </c>
      <c r="O91" s="50">
        <v>10406</v>
      </c>
      <c r="P91" s="257">
        <v>500513</v>
      </c>
      <c r="Q91" s="257">
        <v>1068548</v>
      </c>
      <c r="R91" s="257">
        <v>16236</v>
      </c>
      <c r="S91" s="234">
        <v>13467</v>
      </c>
      <c r="T91" s="234">
        <v>110543</v>
      </c>
      <c r="U91" s="234">
        <v>12828</v>
      </c>
      <c r="V91" s="234">
        <v>16217</v>
      </c>
      <c r="W91" s="234">
        <v>16212</v>
      </c>
      <c r="X91" s="234">
        <v>0</v>
      </c>
      <c r="Y91" s="234">
        <v>0</v>
      </c>
      <c r="Z91" s="234"/>
    </row>
    <row r="92" spans="2:26">
      <c r="B92" s="38" t="s">
        <v>274</v>
      </c>
      <c r="C92" s="50">
        <v>33610</v>
      </c>
      <c r="D92" s="50">
        <v>36344</v>
      </c>
      <c r="E92" s="50">
        <v>29714</v>
      </c>
      <c r="F92" s="50">
        <v>40457</v>
      </c>
      <c r="G92" s="50">
        <v>42515</v>
      </c>
      <c r="H92" s="50">
        <v>37047</v>
      </c>
      <c r="I92" s="50">
        <v>29156</v>
      </c>
      <c r="J92" s="50">
        <v>38239</v>
      </c>
      <c r="K92" s="50">
        <v>41182</v>
      </c>
      <c r="L92" s="259">
        <v>33341</v>
      </c>
      <c r="M92" s="50">
        <v>26512</v>
      </c>
      <c r="N92" s="50">
        <v>37797</v>
      </c>
      <c r="O92" s="50">
        <v>48833</v>
      </c>
      <c r="P92" s="257">
        <v>45094</v>
      </c>
      <c r="Q92" s="257">
        <v>36212</v>
      </c>
      <c r="R92" s="257">
        <v>45062</v>
      </c>
      <c r="S92" s="234">
        <v>50475</v>
      </c>
      <c r="T92" s="234">
        <v>46507</v>
      </c>
      <c r="U92" s="234">
        <v>36651</v>
      </c>
      <c r="V92" s="234">
        <v>47483</v>
      </c>
      <c r="W92" s="234">
        <v>53028</v>
      </c>
      <c r="X92" s="234">
        <v>611207</v>
      </c>
      <c r="Y92" s="234">
        <v>611181</v>
      </c>
      <c r="Z92" s="234">
        <v>13461</v>
      </c>
    </row>
    <row r="93" spans="2:26">
      <c r="B93" s="38" t="s">
        <v>275</v>
      </c>
      <c r="C93" s="50">
        <v>5495</v>
      </c>
      <c r="D93" s="50">
        <v>2056</v>
      </c>
      <c r="E93" s="50">
        <v>3309</v>
      </c>
      <c r="F93" s="50">
        <v>4655</v>
      </c>
      <c r="G93" s="50">
        <v>3579</v>
      </c>
      <c r="H93" s="50">
        <v>4250</v>
      </c>
      <c r="I93" s="50">
        <v>5103</v>
      </c>
      <c r="J93" s="50">
        <v>4157</v>
      </c>
      <c r="K93" s="50">
        <v>3782</v>
      </c>
      <c r="L93" s="259">
        <v>2173</v>
      </c>
      <c r="M93" s="50">
        <v>2176</v>
      </c>
      <c r="N93" s="50">
        <v>2730</v>
      </c>
      <c r="O93" s="50">
        <v>868</v>
      </c>
      <c r="P93" s="257">
        <v>871</v>
      </c>
      <c r="Q93" s="257">
        <v>855</v>
      </c>
      <c r="R93" s="257">
        <v>858</v>
      </c>
      <c r="S93" s="234">
        <v>858</v>
      </c>
      <c r="T93" s="234">
        <v>858</v>
      </c>
      <c r="U93" s="234">
        <v>939</v>
      </c>
      <c r="V93" s="234">
        <v>947</v>
      </c>
      <c r="W93" s="234">
        <v>947</v>
      </c>
      <c r="X93" s="234">
        <v>53810</v>
      </c>
      <c r="Y93" s="234">
        <v>40440</v>
      </c>
      <c r="Z93" s="234">
        <v>56625</v>
      </c>
    </row>
    <row r="94" spans="2:26" ht="14.1" customHeight="1">
      <c r="B94" s="38" t="s">
        <v>276</v>
      </c>
      <c r="C94" s="50">
        <v>0</v>
      </c>
      <c r="D94" s="50">
        <v>0</v>
      </c>
      <c r="E94" s="50">
        <v>0</v>
      </c>
      <c r="F94" s="50">
        <v>0</v>
      </c>
      <c r="G94" s="50">
        <v>1860</v>
      </c>
      <c r="H94" s="50">
        <v>2480</v>
      </c>
      <c r="I94" s="50">
        <v>2480</v>
      </c>
      <c r="J94" s="50">
        <v>2480</v>
      </c>
      <c r="K94" s="50">
        <v>2480</v>
      </c>
      <c r="L94" s="259">
        <v>2480</v>
      </c>
      <c r="M94" s="50">
        <v>2480</v>
      </c>
      <c r="N94" s="50">
        <v>2480</v>
      </c>
      <c r="O94" s="50">
        <v>2480</v>
      </c>
      <c r="P94" s="257">
        <v>2480</v>
      </c>
      <c r="Q94" s="257">
        <v>2480</v>
      </c>
      <c r="R94" s="257">
        <v>2480</v>
      </c>
      <c r="S94" s="234">
        <v>2480</v>
      </c>
      <c r="T94" s="234">
        <v>0</v>
      </c>
      <c r="U94" s="234">
        <v>2480</v>
      </c>
      <c r="V94" s="234">
        <v>2480</v>
      </c>
      <c r="W94" s="234">
        <v>2480</v>
      </c>
      <c r="X94" s="234">
        <v>823</v>
      </c>
      <c r="Y94" s="234">
        <v>823</v>
      </c>
      <c r="Z94" s="234">
        <v>698</v>
      </c>
    </row>
    <row r="95" spans="2:26">
      <c r="B95" s="38" t="s">
        <v>215</v>
      </c>
      <c r="C95" s="50">
        <v>53047</v>
      </c>
      <c r="D95" s="50">
        <v>61180</v>
      </c>
      <c r="E95" s="50">
        <v>57876.328179999997</v>
      </c>
      <c r="F95" s="50">
        <v>16385</v>
      </c>
      <c r="G95" s="50">
        <v>13852</v>
      </c>
      <c r="H95" s="50">
        <v>34310</v>
      </c>
      <c r="I95" s="50">
        <v>27472</v>
      </c>
      <c r="J95" s="50">
        <v>56345</v>
      </c>
      <c r="K95" s="50">
        <v>70150</v>
      </c>
      <c r="L95" s="259">
        <v>80152</v>
      </c>
      <c r="M95" s="50">
        <v>55374</v>
      </c>
      <c r="N95" s="50">
        <v>34641</v>
      </c>
      <c r="O95" s="50">
        <v>45567</v>
      </c>
      <c r="P95" s="257">
        <v>43751</v>
      </c>
      <c r="Q95" s="257">
        <v>56930</v>
      </c>
      <c r="R95" s="257">
        <v>51770</v>
      </c>
      <c r="S95" s="234">
        <v>54165</v>
      </c>
      <c r="T95" s="234">
        <v>50713</v>
      </c>
      <c r="U95" s="234">
        <v>46184</v>
      </c>
      <c r="V95" s="234">
        <v>35593</v>
      </c>
      <c r="W95" s="234">
        <v>60587</v>
      </c>
      <c r="X95" s="234">
        <v>74331</v>
      </c>
      <c r="Y95" s="234">
        <v>56511</v>
      </c>
      <c r="Z95" s="234">
        <v>41257</v>
      </c>
    </row>
    <row r="96" spans="2:26">
      <c r="B96" s="227"/>
      <c r="C96" s="228">
        <f>SUM(C82:C95)</f>
        <v>597971</v>
      </c>
      <c r="D96" s="228">
        <f>SUM(D82:D95)</f>
        <v>789104</v>
      </c>
      <c r="E96" s="228">
        <f t="shared" ref="E96:M96" si="31">SUM(E82:E95)</f>
        <v>845766.32817999995</v>
      </c>
      <c r="F96" s="228">
        <f t="shared" si="31"/>
        <v>1024379</v>
      </c>
      <c r="G96" s="228">
        <f t="shared" si="31"/>
        <v>1009761</v>
      </c>
      <c r="H96" s="228">
        <f t="shared" si="31"/>
        <v>626698</v>
      </c>
      <c r="I96" s="228">
        <f t="shared" si="31"/>
        <v>724039</v>
      </c>
      <c r="J96" s="228">
        <f t="shared" si="31"/>
        <v>878935</v>
      </c>
      <c r="K96" s="228">
        <f>SUM(K82:K95)</f>
        <v>1548592</v>
      </c>
      <c r="L96" s="228">
        <f t="shared" si="31"/>
        <v>1615825</v>
      </c>
      <c r="M96" s="228">
        <f t="shared" si="31"/>
        <v>1708482</v>
      </c>
      <c r="N96" s="228">
        <f>SUM(N82:N95)</f>
        <v>1835704</v>
      </c>
      <c r="O96" s="228">
        <f>SUM(O82:O95)</f>
        <v>1400267</v>
      </c>
      <c r="P96" s="260">
        <f>SUM(P82:P95)</f>
        <v>1372497</v>
      </c>
      <c r="Q96" s="260">
        <f>SUM(Q82:Q95)</f>
        <v>2361322</v>
      </c>
      <c r="R96" s="260">
        <f>SUM(R82:R95)</f>
        <v>2002883</v>
      </c>
      <c r="S96" s="260">
        <f t="shared" ref="S96" si="32">SUM(S82:S95)</f>
        <v>1569859</v>
      </c>
      <c r="T96" s="260">
        <v>1229194</v>
      </c>
      <c r="U96" s="260">
        <v>1232215</v>
      </c>
      <c r="V96" s="260">
        <v>563357</v>
      </c>
      <c r="W96" s="260">
        <v>894739</v>
      </c>
      <c r="X96" s="260">
        <f t="shared" ref="X96:Z96" si="33">SUM(X82:X95)</f>
        <v>1293347</v>
      </c>
      <c r="Y96" s="260">
        <f t="shared" si="33"/>
        <v>1732626</v>
      </c>
      <c r="Z96" s="260">
        <f t="shared" si="33"/>
        <v>2743349</v>
      </c>
    </row>
    <row r="97" spans="2:26">
      <c r="B97" s="229" t="s">
        <v>251</v>
      </c>
      <c r="C97" s="51"/>
      <c r="D97" s="51"/>
      <c r="E97" s="51"/>
      <c r="F97" s="229"/>
      <c r="G97" s="229"/>
      <c r="H97" s="229"/>
      <c r="I97" s="229"/>
      <c r="J97" s="229"/>
      <c r="K97" s="229"/>
      <c r="L97" s="454"/>
      <c r="M97" s="229"/>
      <c r="N97" s="229"/>
      <c r="O97" s="229"/>
      <c r="P97" s="261"/>
      <c r="Q97" s="261"/>
      <c r="R97" s="261"/>
      <c r="S97" s="261"/>
      <c r="T97" s="261"/>
      <c r="U97" s="261"/>
      <c r="V97" s="261"/>
      <c r="W97" s="261">
        <v>0</v>
      </c>
      <c r="X97" s="261"/>
      <c r="Y97" s="261"/>
      <c r="Z97" s="261"/>
    </row>
    <row r="98" spans="2:26">
      <c r="B98" s="38" t="s">
        <v>265</v>
      </c>
      <c r="C98" s="50">
        <v>432472</v>
      </c>
      <c r="D98" s="50">
        <v>690541</v>
      </c>
      <c r="E98" s="50">
        <v>677182</v>
      </c>
      <c r="F98" s="50">
        <v>657248</v>
      </c>
      <c r="G98" s="50">
        <v>1258364</v>
      </c>
      <c r="H98" s="50">
        <v>1215689</v>
      </c>
      <c r="I98" s="50">
        <v>1273554</v>
      </c>
      <c r="J98" s="50">
        <v>1264267</v>
      </c>
      <c r="K98" s="50">
        <v>660197</v>
      </c>
      <c r="L98" s="259">
        <v>637448</v>
      </c>
      <c r="M98" s="50">
        <v>620011</v>
      </c>
      <c r="N98" s="50">
        <v>1248161</v>
      </c>
      <c r="O98" s="50">
        <v>1228231</v>
      </c>
      <c r="P98" s="257">
        <v>1208301</v>
      </c>
      <c r="Q98" s="257">
        <v>1182886</v>
      </c>
      <c r="R98" s="257">
        <v>1722627</v>
      </c>
      <c r="S98" s="234">
        <v>1721742</v>
      </c>
      <c r="T98" s="234">
        <v>1728681</v>
      </c>
      <c r="U98" s="234">
        <v>1953199</v>
      </c>
      <c r="V98" s="234">
        <v>1985056</v>
      </c>
      <c r="W98" s="234">
        <v>2013726</v>
      </c>
      <c r="X98" s="234">
        <v>2012601</v>
      </c>
      <c r="Y98" s="234">
        <v>2046998</v>
      </c>
      <c r="Z98" s="234">
        <v>565503</v>
      </c>
    </row>
    <row r="99" spans="2:26">
      <c r="B99" s="38" t="s">
        <v>266</v>
      </c>
      <c r="C99" s="50">
        <v>313931</v>
      </c>
      <c r="D99" s="50">
        <v>801007</v>
      </c>
      <c r="E99" s="50">
        <v>806204</v>
      </c>
      <c r="F99" s="50">
        <v>1420052</v>
      </c>
      <c r="G99" s="50">
        <v>1437775</v>
      </c>
      <c r="H99" s="50">
        <v>1441504</v>
      </c>
      <c r="I99" s="50">
        <v>1457692</v>
      </c>
      <c r="J99" s="50">
        <v>1475140</v>
      </c>
      <c r="K99" s="50">
        <v>1480445</v>
      </c>
      <c r="L99" s="259">
        <v>1528971</v>
      </c>
      <c r="M99" s="50">
        <v>1554166</v>
      </c>
      <c r="N99" s="50">
        <v>1545549</v>
      </c>
      <c r="O99" s="50">
        <v>1392099</v>
      </c>
      <c r="P99" s="257">
        <v>2961318</v>
      </c>
      <c r="Q99" s="257">
        <v>3664357</v>
      </c>
      <c r="R99" s="257">
        <v>3707753</v>
      </c>
      <c r="S99" s="234">
        <v>3788738</v>
      </c>
      <c r="T99" s="234">
        <v>4829761</v>
      </c>
      <c r="U99" s="234">
        <v>4938992</v>
      </c>
      <c r="V99" s="234">
        <v>5783645</v>
      </c>
      <c r="W99" s="234">
        <v>5777900</v>
      </c>
      <c r="X99" s="234">
        <v>5805235</v>
      </c>
      <c r="Y99" s="234">
        <v>6040108</v>
      </c>
      <c r="Z99" s="234">
        <v>6119491</v>
      </c>
    </row>
    <row r="100" spans="2:26">
      <c r="B100" s="38" t="s">
        <v>267</v>
      </c>
      <c r="C100" s="50">
        <v>0</v>
      </c>
      <c r="D100" s="50">
        <v>0</v>
      </c>
      <c r="E100" s="50">
        <v>0</v>
      </c>
      <c r="F100" s="50">
        <v>0</v>
      </c>
      <c r="G100" s="50">
        <v>0</v>
      </c>
      <c r="H100" s="50">
        <v>0</v>
      </c>
      <c r="I100" s="50">
        <v>0</v>
      </c>
      <c r="J100" s="50">
        <v>42872</v>
      </c>
      <c r="K100" s="50">
        <v>42449</v>
      </c>
      <c r="L100" s="259">
        <v>39948</v>
      </c>
      <c r="M100" s="50">
        <v>47616</v>
      </c>
      <c r="N100" s="50">
        <v>45547</v>
      </c>
      <c r="O100" s="50">
        <v>46627</v>
      </c>
      <c r="P100" s="257">
        <v>44742</v>
      </c>
      <c r="Q100" s="257">
        <v>42856</v>
      </c>
      <c r="R100" s="257">
        <v>49135</v>
      </c>
      <c r="S100" s="234">
        <v>47902</v>
      </c>
      <c r="T100" s="234">
        <v>45005</v>
      </c>
      <c r="U100" s="234">
        <v>42927</v>
      </c>
      <c r="V100" s="234">
        <v>39980</v>
      </c>
      <c r="W100" s="234">
        <v>45951</v>
      </c>
      <c r="X100" s="234">
        <v>42844</v>
      </c>
      <c r="Y100" s="234">
        <v>39454</v>
      </c>
      <c r="Z100" s="234">
        <v>24179</v>
      </c>
    </row>
    <row r="101" spans="2:26">
      <c r="B101" s="38" t="s">
        <v>244</v>
      </c>
      <c r="C101" s="50">
        <v>0</v>
      </c>
      <c r="D101" s="50">
        <v>0</v>
      </c>
      <c r="E101" s="50">
        <v>0</v>
      </c>
      <c r="F101" s="50">
        <v>0</v>
      </c>
      <c r="G101" s="50">
        <v>0</v>
      </c>
      <c r="H101" s="50">
        <v>0</v>
      </c>
      <c r="I101" s="50">
        <v>9984</v>
      </c>
      <c r="J101" s="50">
        <v>2760</v>
      </c>
      <c r="K101" s="50">
        <v>0</v>
      </c>
      <c r="L101" s="259">
        <v>135</v>
      </c>
      <c r="M101" s="50">
        <v>0</v>
      </c>
      <c r="N101" s="50">
        <v>0</v>
      </c>
      <c r="O101" s="50">
        <v>0</v>
      </c>
      <c r="P101" s="257" t="s">
        <v>214</v>
      </c>
      <c r="Q101" s="257" t="s">
        <v>214</v>
      </c>
      <c r="R101" s="257" t="s">
        <v>214</v>
      </c>
      <c r="S101" s="234" t="s">
        <v>214</v>
      </c>
      <c r="T101" s="234" t="s">
        <v>214</v>
      </c>
      <c r="U101" s="234">
        <v>6561</v>
      </c>
      <c r="V101" s="234">
        <v>0</v>
      </c>
      <c r="W101" s="234">
        <v>1908</v>
      </c>
      <c r="X101" s="234">
        <v>4117</v>
      </c>
      <c r="Y101" s="234">
        <v>9655</v>
      </c>
      <c r="Z101" s="234">
        <v>20662</v>
      </c>
    </row>
    <row r="102" spans="2:26">
      <c r="B102" s="38" t="s">
        <v>268</v>
      </c>
      <c r="C102" s="50"/>
      <c r="D102" s="50"/>
      <c r="E102" s="50"/>
      <c r="F102" s="50"/>
      <c r="G102" s="50"/>
      <c r="H102" s="50"/>
      <c r="I102" s="50"/>
      <c r="J102" s="50"/>
      <c r="K102" s="50"/>
      <c r="L102" s="259"/>
      <c r="M102" s="50"/>
      <c r="N102" s="50"/>
      <c r="O102" s="50"/>
      <c r="P102" s="257" t="s">
        <v>214</v>
      </c>
      <c r="Q102" s="257" t="s">
        <v>214</v>
      </c>
      <c r="R102" s="257">
        <v>14535</v>
      </c>
      <c r="S102" s="234">
        <v>32213</v>
      </c>
      <c r="T102" s="234">
        <v>6336</v>
      </c>
      <c r="U102" s="234">
        <v>6323</v>
      </c>
      <c r="V102" s="234">
        <v>6308</v>
      </c>
      <c r="W102" s="234">
        <v>6308</v>
      </c>
      <c r="X102" s="234">
        <v>6056</v>
      </c>
      <c r="Y102" s="234">
        <v>6024</v>
      </c>
      <c r="Z102" s="234">
        <v>5816</v>
      </c>
    </row>
    <row r="103" spans="2:26">
      <c r="B103" s="38" t="s">
        <v>277</v>
      </c>
      <c r="C103" s="50"/>
      <c r="D103" s="50"/>
      <c r="E103" s="50"/>
      <c r="F103" s="50"/>
      <c r="G103" s="50"/>
      <c r="H103" s="50"/>
      <c r="I103" s="50"/>
      <c r="J103" s="50"/>
      <c r="K103" s="50"/>
      <c r="L103" s="259"/>
      <c r="M103" s="50"/>
      <c r="N103" s="50"/>
      <c r="O103" s="50"/>
      <c r="P103" s="257"/>
      <c r="Q103" s="257"/>
      <c r="R103" s="257"/>
      <c r="S103" s="234"/>
      <c r="T103" s="234"/>
      <c r="U103" s="234">
        <v>125711</v>
      </c>
      <c r="V103" s="234">
        <v>123481</v>
      </c>
      <c r="W103" s="234">
        <v>122579</v>
      </c>
      <c r="X103" s="234">
        <v>140759</v>
      </c>
      <c r="Y103" s="234">
        <v>139380</v>
      </c>
      <c r="Z103" s="234">
        <v>120978</v>
      </c>
    </row>
    <row r="104" spans="2:26">
      <c r="B104" s="38" t="s">
        <v>278</v>
      </c>
      <c r="C104" s="50"/>
      <c r="D104" s="50"/>
      <c r="E104" s="50"/>
      <c r="F104" s="50"/>
      <c r="G104" s="50"/>
      <c r="H104" s="50"/>
      <c r="I104" s="50"/>
      <c r="J104" s="50"/>
      <c r="K104" s="50"/>
      <c r="L104" s="257" t="s">
        <v>214</v>
      </c>
      <c r="M104" s="257" t="s">
        <v>214</v>
      </c>
      <c r="N104" s="257" t="s">
        <v>214</v>
      </c>
      <c r="O104" s="257" t="s">
        <v>214</v>
      </c>
      <c r="P104" s="257">
        <v>381977</v>
      </c>
      <c r="Q104" s="257">
        <v>394078</v>
      </c>
      <c r="R104" s="257">
        <v>406048</v>
      </c>
      <c r="S104" s="234">
        <v>417940</v>
      </c>
      <c r="T104" s="234">
        <v>465454</v>
      </c>
      <c r="U104" s="234">
        <v>481625</v>
      </c>
      <c r="V104" s="234">
        <v>497352</v>
      </c>
      <c r="W104" s="234">
        <v>512205</v>
      </c>
      <c r="X104" s="234">
        <v>153836</v>
      </c>
      <c r="Y104" s="234">
        <v>156332</v>
      </c>
      <c r="Z104" s="234">
        <v>156140</v>
      </c>
    </row>
    <row r="105" spans="2:26">
      <c r="B105" s="38" t="s">
        <v>270</v>
      </c>
      <c r="C105" s="50">
        <v>119857</v>
      </c>
      <c r="D105" s="50">
        <v>0</v>
      </c>
      <c r="E105" s="50">
        <v>0</v>
      </c>
      <c r="F105" s="50">
        <v>0</v>
      </c>
      <c r="G105" s="50">
        <v>102672</v>
      </c>
      <c r="H105" s="50">
        <v>0</v>
      </c>
      <c r="I105" s="50">
        <v>0</v>
      </c>
      <c r="J105" s="50">
        <v>0</v>
      </c>
      <c r="K105" s="50">
        <v>0</v>
      </c>
      <c r="L105" s="259">
        <v>0</v>
      </c>
      <c r="M105" s="50">
        <v>0</v>
      </c>
      <c r="N105" s="50">
        <v>0</v>
      </c>
      <c r="O105" s="50">
        <v>0</v>
      </c>
      <c r="P105" s="257">
        <v>0</v>
      </c>
      <c r="Q105" s="257">
        <v>0</v>
      </c>
      <c r="R105" s="257">
        <v>0</v>
      </c>
      <c r="S105" s="234">
        <v>0</v>
      </c>
      <c r="T105" s="234">
        <v>0</v>
      </c>
      <c r="U105" s="234">
        <v>0</v>
      </c>
      <c r="V105" s="234">
        <v>0</v>
      </c>
      <c r="W105" s="234">
        <v>0</v>
      </c>
      <c r="X105" s="234">
        <v>0</v>
      </c>
      <c r="Y105" s="234">
        <v>0</v>
      </c>
      <c r="Z105" s="234">
        <v>0</v>
      </c>
    </row>
    <row r="106" spans="2:26">
      <c r="B106" s="38" t="s">
        <v>279</v>
      </c>
      <c r="C106" s="50">
        <v>989445</v>
      </c>
      <c r="D106" s="50">
        <v>1147381</v>
      </c>
      <c r="E106" s="50">
        <v>1124479</v>
      </c>
      <c r="F106" s="50">
        <v>1104911</v>
      </c>
      <c r="G106" s="50">
        <v>2343209</v>
      </c>
      <c r="H106" s="50">
        <v>1176566</v>
      </c>
      <c r="I106" s="50">
        <v>1177627</v>
      </c>
      <c r="J106" s="50">
        <v>1197183</v>
      </c>
      <c r="K106" s="50">
        <v>1192371</v>
      </c>
      <c r="L106" s="259">
        <v>1185323</v>
      </c>
      <c r="M106" s="50">
        <v>1179839</v>
      </c>
      <c r="N106" s="50">
        <v>1264433</v>
      </c>
      <c r="O106" s="50">
        <v>1256820</v>
      </c>
      <c r="P106" s="257">
        <v>1318796</v>
      </c>
      <c r="Q106" s="257">
        <v>1527911</v>
      </c>
      <c r="R106" s="257">
        <v>1578813</v>
      </c>
      <c r="S106" s="234">
        <v>1635997</v>
      </c>
      <c r="T106" s="234">
        <v>1694586</v>
      </c>
      <c r="U106" s="234">
        <v>1743514</v>
      </c>
      <c r="V106" s="234">
        <v>1812416</v>
      </c>
      <c r="W106" s="234">
        <v>1828249</v>
      </c>
      <c r="X106" s="234">
        <v>1849888</v>
      </c>
      <c r="Y106" s="234">
        <v>1902182</v>
      </c>
      <c r="Z106" s="234">
        <v>1944593</v>
      </c>
    </row>
    <row r="107" spans="2:26">
      <c r="B107" s="38" t="s">
        <v>255</v>
      </c>
      <c r="C107" s="50">
        <v>2106603</v>
      </c>
      <c r="D107" s="50">
        <v>2418125</v>
      </c>
      <c r="E107" s="50">
        <v>2347207</v>
      </c>
      <c r="F107" s="50">
        <v>2283080</v>
      </c>
      <c r="G107" s="50">
        <v>1125728</v>
      </c>
      <c r="H107" s="50">
        <v>2603438</v>
      </c>
      <c r="I107" s="50">
        <v>2638945</v>
      </c>
      <c r="J107" s="50">
        <v>2699617</v>
      </c>
      <c r="K107" s="50">
        <v>2686190</v>
      </c>
      <c r="L107" s="259">
        <v>2673970</v>
      </c>
      <c r="M107" s="50">
        <v>2742928</v>
      </c>
      <c r="N107" s="50">
        <v>3012528</v>
      </c>
      <c r="O107" s="50">
        <v>2951233</v>
      </c>
      <c r="P107" s="257">
        <v>2955826</v>
      </c>
      <c r="Q107" s="257">
        <v>3439088</v>
      </c>
      <c r="R107" s="257">
        <v>3687902</v>
      </c>
      <c r="S107" s="234">
        <v>3841197</v>
      </c>
      <c r="T107" s="234">
        <v>3987167</v>
      </c>
      <c r="U107" s="234">
        <v>4114555</v>
      </c>
      <c r="V107" s="234">
        <v>4295897</v>
      </c>
      <c r="W107" s="234">
        <v>4273008</v>
      </c>
      <c r="X107" s="234">
        <v>4357908</v>
      </c>
      <c r="Y107" s="234">
        <v>4445113</v>
      </c>
      <c r="Z107" s="234">
        <v>4503307</v>
      </c>
    </row>
    <row r="108" spans="2:26">
      <c r="B108" s="38" t="s">
        <v>271</v>
      </c>
      <c r="C108" s="50">
        <v>32509</v>
      </c>
      <c r="D108" s="50">
        <v>54250</v>
      </c>
      <c r="E108" s="50">
        <v>40848</v>
      </c>
      <c r="F108" s="50">
        <v>42962</v>
      </c>
      <c r="G108" s="50">
        <v>20333</v>
      </c>
      <c r="H108" s="50">
        <v>35925</v>
      </c>
      <c r="I108" s="50">
        <v>39380</v>
      </c>
      <c r="J108" s="50">
        <v>37756</v>
      </c>
      <c r="K108" s="50">
        <v>41836</v>
      </c>
      <c r="L108" s="259">
        <v>41236</v>
      </c>
      <c r="M108" s="50">
        <v>34179</v>
      </c>
      <c r="N108" s="50">
        <v>40742</v>
      </c>
      <c r="O108" s="50">
        <v>42419</v>
      </c>
      <c r="P108" s="257">
        <v>48065</v>
      </c>
      <c r="Q108" s="257">
        <v>50331</v>
      </c>
      <c r="R108" s="257">
        <v>50036</v>
      </c>
      <c r="S108" s="234">
        <v>35141</v>
      </c>
      <c r="T108" s="234">
        <v>37211</v>
      </c>
      <c r="U108" s="234">
        <v>22461</v>
      </c>
      <c r="V108" s="234">
        <v>20532</v>
      </c>
      <c r="W108" s="234">
        <v>24671</v>
      </c>
      <c r="X108" s="234">
        <v>28142</v>
      </c>
      <c r="Y108" s="234">
        <v>31151</v>
      </c>
      <c r="Z108" s="234">
        <v>31283</v>
      </c>
    </row>
    <row r="109" spans="2:26" ht="18" customHeight="1">
      <c r="B109" s="38" t="s">
        <v>280</v>
      </c>
      <c r="C109" s="50">
        <v>153035</v>
      </c>
      <c r="D109" s="50">
        <v>121553</v>
      </c>
      <c r="E109" s="50">
        <v>125321</v>
      </c>
      <c r="F109" s="50">
        <v>113686</v>
      </c>
      <c r="G109" s="50">
        <v>34827</v>
      </c>
      <c r="H109" s="50">
        <v>90708</v>
      </c>
      <c r="I109" s="50">
        <v>91036</v>
      </c>
      <c r="J109" s="50">
        <v>92755</v>
      </c>
      <c r="K109" s="50">
        <v>86780</v>
      </c>
      <c r="L109" s="259">
        <v>62367</v>
      </c>
      <c r="M109" s="50">
        <v>59509</v>
      </c>
      <c r="N109" s="50">
        <v>58816</v>
      </c>
      <c r="O109" s="50">
        <v>83168</v>
      </c>
      <c r="P109" s="257">
        <v>88682</v>
      </c>
      <c r="Q109" s="257">
        <v>128730</v>
      </c>
      <c r="R109" s="257">
        <v>119037</v>
      </c>
      <c r="S109" s="234">
        <v>116588</v>
      </c>
      <c r="T109" s="234">
        <v>124758</v>
      </c>
      <c r="U109" s="234">
        <v>0</v>
      </c>
      <c r="V109" s="234">
        <v>0</v>
      </c>
      <c r="W109" s="234">
        <v>0</v>
      </c>
      <c r="X109" s="234">
        <v>0</v>
      </c>
      <c r="Y109" s="234">
        <v>0</v>
      </c>
      <c r="Z109" s="234">
        <v>0</v>
      </c>
    </row>
    <row r="110" spans="2:26">
      <c r="B110" s="38" t="s">
        <v>281</v>
      </c>
      <c r="C110" s="50">
        <v>0</v>
      </c>
      <c r="D110" s="50">
        <v>24053</v>
      </c>
      <c r="E110" s="50">
        <v>0</v>
      </c>
      <c r="F110" s="50">
        <v>0</v>
      </c>
      <c r="G110" s="50">
        <v>0</v>
      </c>
      <c r="H110" s="50">
        <v>19093</v>
      </c>
      <c r="I110" s="50">
        <v>18473</v>
      </c>
      <c r="J110" s="50">
        <v>17853</v>
      </c>
      <c r="K110" s="50">
        <v>17232</v>
      </c>
      <c r="L110" s="259">
        <v>16612</v>
      </c>
      <c r="M110" s="50">
        <v>15992</v>
      </c>
      <c r="N110" s="50">
        <v>15372</v>
      </c>
      <c r="O110" s="50">
        <v>14752</v>
      </c>
      <c r="P110" s="257">
        <v>14132</v>
      </c>
      <c r="Q110" s="257">
        <v>13512</v>
      </c>
      <c r="R110" s="257">
        <v>12892</v>
      </c>
      <c r="S110" s="234">
        <v>12272</v>
      </c>
      <c r="T110" s="234">
        <v>0</v>
      </c>
      <c r="U110" s="234">
        <v>0</v>
      </c>
      <c r="V110" s="234">
        <v>0</v>
      </c>
      <c r="W110" s="234">
        <v>0</v>
      </c>
      <c r="X110" s="234">
        <v>0</v>
      </c>
      <c r="Y110" s="234">
        <v>0</v>
      </c>
      <c r="Z110" s="234">
        <v>0</v>
      </c>
    </row>
    <row r="111" spans="2:26" ht="22.05" customHeight="1">
      <c r="B111" s="38" t="s">
        <v>215</v>
      </c>
      <c r="C111" s="50">
        <v>24053</v>
      </c>
      <c r="D111" s="50">
        <v>6503</v>
      </c>
      <c r="E111" s="50">
        <v>27454.67182</v>
      </c>
      <c r="F111" s="50">
        <v>53841</v>
      </c>
      <c r="G111" s="50">
        <v>34532</v>
      </c>
      <c r="H111" s="50">
        <v>33078</v>
      </c>
      <c r="I111" s="50">
        <v>33602</v>
      </c>
      <c r="J111" s="50">
        <v>34572</v>
      </c>
      <c r="K111" s="50">
        <v>35152</v>
      </c>
      <c r="L111" s="259">
        <v>35652</v>
      </c>
      <c r="M111" s="50">
        <v>46714</v>
      </c>
      <c r="N111" s="50">
        <v>48201</v>
      </c>
      <c r="O111" s="50">
        <v>93739</v>
      </c>
      <c r="P111" s="257">
        <v>77624</v>
      </c>
      <c r="Q111" s="257">
        <v>36621</v>
      </c>
      <c r="R111" s="257">
        <v>37118</v>
      </c>
      <c r="S111" s="234">
        <v>41193</v>
      </c>
      <c r="T111" s="234">
        <v>35851</v>
      </c>
      <c r="U111" s="234">
        <v>33982</v>
      </c>
      <c r="V111" s="234">
        <v>29540</v>
      </c>
      <c r="W111" s="234">
        <v>26750</v>
      </c>
      <c r="X111" s="234">
        <v>12337</v>
      </c>
      <c r="Y111" s="234">
        <v>2453</v>
      </c>
      <c r="Z111" s="234">
        <v>3209</v>
      </c>
    </row>
    <row r="112" spans="2:26">
      <c r="B112" s="227" t="s">
        <v>282</v>
      </c>
      <c r="C112" s="228">
        <f>SUM(C98:C111)</f>
        <v>4171905</v>
      </c>
      <c r="D112" s="228">
        <f>SUM(D98:D111)</f>
        <v>5263413</v>
      </c>
      <c r="E112" s="228">
        <f t="shared" ref="E112:M112" si="34">SUM(E98:E111)</f>
        <v>5148695.6718199998</v>
      </c>
      <c r="F112" s="231">
        <f t="shared" si="34"/>
        <v>5675780</v>
      </c>
      <c r="G112" s="231">
        <f t="shared" si="34"/>
        <v>6357440</v>
      </c>
      <c r="H112" s="231">
        <f t="shared" si="34"/>
        <v>6616001</v>
      </c>
      <c r="I112" s="231">
        <f t="shared" si="34"/>
        <v>6740293</v>
      </c>
      <c r="J112" s="231">
        <f t="shared" si="34"/>
        <v>6864775</v>
      </c>
      <c r="K112" s="231">
        <f>SUM(K98:K111)</f>
        <v>6242652</v>
      </c>
      <c r="L112" s="231">
        <f t="shared" si="34"/>
        <v>6221662</v>
      </c>
      <c r="M112" s="231">
        <f t="shared" si="34"/>
        <v>6300954</v>
      </c>
      <c r="N112" s="231">
        <f>SUM(N98:N111)</f>
        <v>7279349</v>
      </c>
      <c r="O112" s="231">
        <f>SUM(O98:O111)</f>
        <v>7109088</v>
      </c>
      <c r="P112" s="260">
        <f>SUM(P98:P111)</f>
        <v>9099463</v>
      </c>
      <c r="Q112" s="260">
        <f>SUM(Q98:Q111)</f>
        <v>10480370</v>
      </c>
      <c r="R112" s="260">
        <f>SUM(R98:R111)</f>
        <v>11385896</v>
      </c>
      <c r="S112" s="260">
        <f t="shared" ref="S112" si="35">SUM(S98:S111)</f>
        <v>11690923</v>
      </c>
      <c r="T112" s="260">
        <v>12954810</v>
      </c>
      <c r="U112" s="260">
        <v>13469850</v>
      </c>
      <c r="V112" s="260">
        <v>14594207</v>
      </c>
      <c r="W112" s="260">
        <v>14633255</v>
      </c>
      <c r="X112" s="260">
        <f>SUM(X98:X111)</f>
        <v>14413723</v>
      </c>
      <c r="Y112" s="260">
        <f t="shared" ref="Y112" si="36">SUM(Y98:Y111)</f>
        <v>14818850</v>
      </c>
      <c r="Z112" s="735">
        <v>13495161</v>
      </c>
    </row>
    <row r="113" spans="1:26">
      <c r="C113" s="48"/>
      <c r="D113" s="48"/>
      <c r="E113" s="230"/>
      <c r="L113" s="447"/>
      <c r="P113" s="263"/>
      <c r="Q113" s="263"/>
      <c r="R113" s="263"/>
      <c r="S113" s="263"/>
      <c r="X113" s="263"/>
    </row>
    <row r="114" spans="1:26">
      <c r="B114" s="38" t="s">
        <v>234</v>
      </c>
      <c r="C114" s="50">
        <v>178733</v>
      </c>
      <c r="D114" s="50">
        <v>214939</v>
      </c>
      <c r="E114" s="50">
        <v>201431</v>
      </c>
      <c r="F114" s="50">
        <v>212706</v>
      </c>
      <c r="G114" s="50">
        <v>226286</v>
      </c>
      <c r="H114" s="50">
        <v>230878</v>
      </c>
      <c r="I114" s="50">
        <v>282713</v>
      </c>
      <c r="J114" s="50">
        <v>287177</v>
      </c>
      <c r="K114" s="50">
        <v>273453</v>
      </c>
      <c r="L114" s="259">
        <v>1967288</v>
      </c>
      <c r="M114" s="50">
        <v>502442</v>
      </c>
      <c r="N114" s="50">
        <v>369210</v>
      </c>
      <c r="O114" s="50">
        <v>327872</v>
      </c>
      <c r="P114" s="257" t="s">
        <v>214</v>
      </c>
      <c r="Q114" s="257" t="s">
        <v>214</v>
      </c>
      <c r="R114" s="257" t="s">
        <v>214</v>
      </c>
      <c r="S114" s="257" t="s">
        <v>214</v>
      </c>
      <c r="T114" s="257" t="s">
        <v>214</v>
      </c>
      <c r="X114" s="257"/>
    </row>
    <row r="115" spans="1:26">
      <c r="B115" s="464"/>
      <c r="C115" s="465"/>
      <c r="D115" s="465"/>
      <c r="E115" s="466"/>
      <c r="F115" s="465"/>
      <c r="G115" s="465"/>
      <c r="H115" s="465"/>
      <c r="I115" s="464"/>
      <c r="J115" s="465"/>
      <c r="K115" s="465"/>
      <c r="L115" s="475"/>
      <c r="M115" s="465"/>
      <c r="N115" s="465"/>
      <c r="O115" s="465"/>
      <c r="P115" s="467"/>
      <c r="Q115" s="467"/>
      <c r="R115" s="467"/>
      <c r="S115" s="467"/>
      <c r="X115" s="467"/>
    </row>
    <row r="116" spans="1:26">
      <c r="B116" s="229" t="s">
        <v>283</v>
      </c>
      <c r="C116" s="51"/>
      <c r="D116" s="51"/>
      <c r="E116" s="51"/>
      <c r="F116" s="51"/>
      <c r="G116" s="51"/>
      <c r="H116" s="51"/>
      <c r="I116" s="229"/>
      <c r="J116" s="51"/>
      <c r="K116" s="51"/>
      <c r="L116" s="451"/>
      <c r="M116" s="51"/>
      <c r="N116" s="51"/>
      <c r="O116" s="51"/>
      <c r="P116" s="261"/>
      <c r="Q116" s="261"/>
      <c r="R116" s="261"/>
      <c r="S116" s="261"/>
      <c r="T116" s="261"/>
      <c r="U116" s="261"/>
      <c r="V116" s="261"/>
      <c r="W116" s="261"/>
      <c r="X116" s="261"/>
      <c r="Y116" s="261"/>
      <c r="Z116" s="261"/>
    </row>
    <row r="117" spans="1:26">
      <c r="B117" s="38" t="s">
        <v>284</v>
      </c>
      <c r="C117" s="50">
        <v>2372437</v>
      </c>
      <c r="D117" s="50">
        <v>3590020</v>
      </c>
      <c r="E117" s="50">
        <v>3590020</v>
      </c>
      <c r="F117" s="50">
        <v>3590020</v>
      </c>
      <c r="G117" s="50">
        <v>3590020</v>
      </c>
      <c r="H117" s="50">
        <v>3590020</v>
      </c>
      <c r="I117" s="50">
        <v>3590020</v>
      </c>
      <c r="J117" s="50">
        <v>3590020</v>
      </c>
      <c r="K117" s="50">
        <v>3590020</v>
      </c>
      <c r="L117" s="259">
        <v>3590020</v>
      </c>
      <c r="M117" s="50">
        <v>3590020</v>
      </c>
      <c r="N117" s="50">
        <v>3590020</v>
      </c>
      <c r="O117" s="50">
        <v>3590020</v>
      </c>
      <c r="P117" s="257">
        <v>3590020</v>
      </c>
      <c r="Q117" s="257">
        <v>3590020</v>
      </c>
      <c r="R117" s="257">
        <v>3590020</v>
      </c>
      <c r="S117" s="234">
        <v>3590020</v>
      </c>
      <c r="T117" s="234">
        <v>3590020</v>
      </c>
      <c r="U117" s="234">
        <v>3590020</v>
      </c>
      <c r="V117" s="234">
        <v>3590020</v>
      </c>
      <c r="W117" s="234">
        <v>3590020</v>
      </c>
      <c r="X117" s="234">
        <v>0</v>
      </c>
      <c r="Y117" s="234">
        <v>0</v>
      </c>
      <c r="Z117" s="234">
        <v>0</v>
      </c>
    </row>
    <row r="118" spans="1:26">
      <c r="B118" s="38" t="s">
        <v>285</v>
      </c>
      <c r="C118" s="50">
        <v>1217583</v>
      </c>
      <c r="D118" s="50">
        <v>666</v>
      </c>
      <c r="E118" s="50">
        <v>666</v>
      </c>
      <c r="F118" s="50">
        <v>666</v>
      </c>
      <c r="G118" s="50">
        <v>666</v>
      </c>
      <c r="H118" s="50">
        <v>666</v>
      </c>
      <c r="I118" s="50">
        <v>666</v>
      </c>
      <c r="J118" s="50">
        <v>666</v>
      </c>
      <c r="K118" s="50">
        <v>666</v>
      </c>
      <c r="L118" s="259">
        <v>666</v>
      </c>
      <c r="M118" s="50">
        <v>666</v>
      </c>
      <c r="N118" s="50">
        <v>666</v>
      </c>
      <c r="O118" s="50">
        <v>666</v>
      </c>
      <c r="P118" s="257">
        <v>666</v>
      </c>
      <c r="Q118" s="257">
        <v>666</v>
      </c>
      <c r="R118" s="257">
        <v>666</v>
      </c>
      <c r="S118" s="234">
        <v>666</v>
      </c>
      <c r="T118" s="234">
        <v>666</v>
      </c>
      <c r="U118" s="234">
        <v>666</v>
      </c>
      <c r="V118" s="234">
        <v>666</v>
      </c>
      <c r="W118" s="234">
        <v>666</v>
      </c>
      <c r="X118" s="234">
        <v>3590020</v>
      </c>
      <c r="Y118" s="234">
        <v>3590020</v>
      </c>
      <c r="Z118" s="234">
        <v>3590020</v>
      </c>
    </row>
    <row r="119" spans="1:26">
      <c r="B119" s="38" t="s">
        <v>286</v>
      </c>
      <c r="C119" s="50">
        <v>6527704</v>
      </c>
      <c r="D119" s="50">
        <v>7394031</v>
      </c>
      <c r="E119" s="50">
        <v>7394031</v>
      </c>
      <c r="F119" s="50">
        <v>6549032</v>
      </c>
      <c r="G119" s="50">
        <v>6549032</v>
      </c>
      <c r="H119" s="50">
        <v>7404769</v>
      </c>
      <c r="I119" s="50">
        <v>7404769</v>
      </c>
      <c r="J119" s="50">
        <v>7404769</v>
      </c>
      <c r="K119" s="50">
        <v>7404769</v>
      </c>
      <c r="L119" s="259">
        <v>8172442</v>
      </c>
      <c r="M119" s="50">
        <v>8172442</v>
      </c>
      <c r="N119" s="50">
        <v>8172442</v>
      </c>
      <c r="O119" s="50">
        <v>8172442</v>
      </c>
      <c r="P119" s="257">
        <v>9863692</v>
      </c>
      <c r="Q119" s="257">
        <v>9332529</v>
      </c>
      <c r="R119" s="257">
        <v>9332529</v>
      </c>
      <c r="S119" s="234">
        <v>9332529</v>
      </c>
      <c r="T119" s="234">
        <v>11045897</v>
      </c>
      <c r="U119" s="234">
        <v>11588971</v>
      </c>
      <c r="V119" s="234">
        <v>12288676</v>
      </c>
      <c r="W119" s="234">
        <v>12765613</v>
      </c>
      <c r="X119" s="234">
        <v>666</v>
      </c>
      <c r="Y119" s="234">
        <v>666</v>
      </c>
      <c r="Z119" s="234">
        <v>666</v>
      </c>
    </row>
    <row r="120" spans="1:26">
      <c r="B120" s="38" t="s">
        <v>287</v>
      </c>
      <c r="C120" s="50"/>
      <c r="D120" s="50"/>
      <c r="E120" s="50"/>
      <c r="F120" s="50"/>
      <c r="G120" s="50"/>
      <c r="H120" s="50"/>
      <c r="I120" s="50"/>
      <c r="J120" s="50"/>
      <c r="K120" s="50"/>
      <c r="L120" s="257" t="s">
        <v>214</v>
      </c>
      <c r="M120" s="50"/>
      <c r="N120" s="50"/>
      <c r="O120" s="50"/>
      <c r="P120" s="257">
        <v>-364659</v>
      </c>
      <c r="Q120" s="257">
        <v>-364659</v>
      </c>
      <c r="R120" s="257">
        <v>-240676</v>
      </c>
      <c r="S120" s="234">
        <v>-240676</v>
      </c>
      <c r="T120" s="234">
        <v>0</v>
      </c>
      <c r="U120" s="234">
        <v>-283180</v>
      </c>
      <c r="V120" s="234">
        <v>-277910</v>
      </c>
      <c r="W120" s="234">
        <v>-282626</v>
      </c>
      <c r="X120" s="234">
        <v>12608141</v>
      </c>
      <c r="Y120" s="234">
        <v>13357003</v>
      </c>
      <c r="Z120" s="234">
        <v>13957861</v>
      </c>
    </row>
    <row r="121" spans="1:26">
      <c r="B121" s="38" t="s">
        <v>288</v>
      </c>
      <c r="C121" s="50">
        <v>0</v>
      </c>
      <c r="D121" s="50">
        <v>0</v>
      </c>
      <c r="E121" s="50">
        <v>236948</v>
      </c>
      <c r="F121" s="50">
        <v>482122</v>
      </c>
      <c r="G121" s="50">
        <v>1173923</v>
      </c>
      <c r="H121" s="50">
        <v>73192</v>
      </c>
      <c r="I121" s="50">
        <v>73389</v>
      </c>
      <c r="J121" s="50">
        <v>70369</v>
      </c>
      <c r="K121" s="50">
        <v>77405</v>
      </c>
      <c r="L121" s="259">
        <v>31191</v>
      </c>
      <c r="M121" s="50">
        <v>63630</v>
      </c>
      <c r="N121" s="50">
        <v>62841</v>
      </c>
      <c r="O121" s="50">
        <v>53225</v>
      </c>
      <c r="P121" s="257">
        <v>140114</v>
      </c>
      <c r="Q121" s="257">
        <v>166601</v>
      </c>
      <c r="R121" s="257">
        <v>17481</v>
      </c>
      <c r="S121" s="234">
        <v>32052</v>
      </c>
      <c r="T121" s="234">
        <v>-237377</v>
      </c>
      <c r="U121" s="234">
        <v>0</v>
      </c>
      <c r="V121" s="234">
        <v>0</v>
      </c>
      <c r="W121" s="234">
        <v>0</v>
      </c>
      <c r="X121" s="234">
        <v>-21376</v>
      </c>
      <c r="Y121" s="234">
        <v>0</v>
      </c>
      <c r="Z121" s="234">
        <v>0</v>
      </c>
    </row>
    <row r="122" spans="1:26">
      <c r="B122" s="38" t="s">
        <v>289</v>
      </c>
      <c r="C122" s="50"/>
      <c r="D122" s="50"/>
      <c r="E122" s="50"/>
      <c r="F122" s="50"/>
      <c r="G122" s="50"/>
      <c r="H122" s="50"/>
      <c r="I122" s="50"/>
      <c r="J122" s="50"/>
      <c r="K122" s="50"/>
      <c r="L122" s="259"/>
      <c r="M122" s="50"/>
      <c r="N122" s="50"/>
      <c r="O122" s="50"/>
      <c r="P122" s="257">
        <v>114129</v>
      </c>
      <c r="Q122" s="257">
        <v>582624</v>
      </c>
      <c r="R122" s="257">
        <v>1432623</v>
      </c>
      <c r="S122" s="234">
        <v>1828402</v>
      </c>
      <c r="T122" s="234">
        <v>0</v>
      </c>
      <c r="U122" s="234">
        <v>0</v>
      </c>
      <c r="V122" s="234">
        <v>0</v>
      </c>
      <c r="W122" s="234">
        <v>0</v>
      </c>
      <c r="X122" s="234">
        <v>0</v>
      </c>
      <c r="Y122" s="234">
        <v>-27626</v>
      </c>
      <c r="Z122" s="234">
        <v>-41961</v>
      </c>
    </row>
    <row r="123" spans="1:26">
      <c r="B123" s="38" t="s">
        <v>290</v>
      </c>
      <c r="C123" s="50">
        <v>0</v>
      </c>
      <c r="D123" s="50">
        <v>0</v>
      </c>
      <c r="E123" s="50">
        <v>0</v>
      </c>
      <c r="F123" s="50">
        <v>0</v>
      </c>
      <c r="G123" s="50">
        <v>0</v>
      </c>
      <c r="H123" s="50">
        <v>0</v>
      </c>
      <c r="I123" s="50">
        <v>353512</v>
      </c>
      <c r="J123" s="50">
        <v>811826</v>
      </c>
      <c r="K123" s="50">
        <v>876789</v>
      </c>
      <c r="L123" s="259">
        <v>0</v>
      </c>
      <c r="M123" s="50">
        <v>392831</v>
      </c>
      <c r="N123" s="50">
        <v>1121337</v>
      </c>
      <c r="O123" s="50">
        <v>1514967</v>
      </c>
      <c r="P123" s="257">
        <v>524450</v>
      </c>
      <c r="Q123" s="257">
        <v>0</v>
      </c>
      <c r="R123" s="257">
        <v>0</v>
      </c>
      <c r="S123" s="234">
        <v>0</v>
      </c>
      <c r="T123" s="234">
        <v>0</v>
      </c>
      <c r="U123" s="234">
        <v>0</v>
      </c>
      <c r="V123" s="234">
        <v>0</v>
      </c>
      <c r="W123" s="234">
        <v>0</v>
      </c>
      <c r="X123" s="234">
        <v>0</v>
      </c>
      <c r="Y123" s="234">
        <v>0</v>
      </c>
      <c r="Z123" s="234">
        <v>0</v>
      </c>
    </row>
    <row r="124" spans="1:26">
      <c r="A124" s="242"/>
      <c r="B124" s="227" t="s">
        <v>291</v>
      </c>
      <c r="C124" s="455">
        <f t="shared" ref="C124:K124" si="37">SUM(C114:C123)</f>
        <v>10296457</v>
      </c>
      <c r="D124" s="455">
        <f t="shared" si="37"/>
        <v>11199656</v>
      </c>
      <c r="E124" s="455">
        <f t="shared" si="37"/>
        <v>11423096</v>
      </c>
      <c r="F124" s="455">
        <f t="shared" si="37"/>
        <v>10834546</v>
      </c>
      <c r="G124" s="455">
        <f t="shared" si="37"/>
        <v>11539927</v>
      </c>
      <c r="H124" s="455">
        <f t="shared" si="37"/>
        <v>11299525</v>
      </c>
      <c r="I124" s="455">
        <f t="shared" si="37"/>
        <v>11705069</v>
      </c>
      <c r="J124" s="455">
        <f t="shared" si="37"/>
        <v>12164827</v>
      </c>
      <c r="K124" s="455">
        <f t="shared" si="37"/>
        <v>12223102</v>
      </c>
      <c r="L124" s="260">
        <f>SUM(L117:L123)</f>
        <v>11794319</v>
      </c>
      <c r="M124" s="455">
        <f>SUM(M114:M123)</f>
        <v>12722031</v>
      </c>
      <c r="N124" s="455">
        <f>SUM(N114:N123)</f>
        <v>13316516</v>
      </c>
      <c r="O124" s="455">
        <f>SUM(O114:O123)</f>
        <v>13659192</v>
      </c>
      <c r="P124" s="260">
        <f>SUM(P117:P123)</f>
        <v>13868412</v>
      </c>
      <c r="Q124" s="260">
        <f>SUM(Q117:Q123)</f>
        <v>13307781</v>
      </c>
      <c r="R124" s="260">
        <f>SUM(R117:R123)</f>
        <v>14132643</v>
      </c>
      <c r="S124" s="260">
        <f>SUM(S117:S123)</f>
        <v>14542993</v>
      </c>
      <c r="T124" s="260">
        <v>14399206</v>
      </c>
      <c r="U124" s="260">
        <v>14896477</v>
      </c>
      <c r="V124" s="260">
        <v>15601452</v>
      </c>
      <c r="W124" s="260">
        <v>16073673</v>
      </c>
      <c r="X124" s="260">
        <f>SUM(X117:X123)</f>
        <v>16177451</v>
      </c>
      <c r="Y124" s="260">
        <f t="shared" ref="Y124" si="38">SUM(Y117:Y123)</f>
        <v>16920063</v>
      </c>
      <c r="Z124" s="735">
        <v>17506586</v>
      </c>
    </row>
    <row r="125" spans="1:26">
      <c r="B125" s="38" t="s">
        <v>292</v>
      </c>
      <c r="C125" s="476"/>
      <c r="D125" s="476"/>
      <c r="E125" s="476"/>
      <c r="F125" s="476"/>
      <c r="G125" s="476"/>
      <c r="H125" s="476"/>
      <c r="I125" s="476"/>
      <c r="J125" s="476"/>
      <c r="K125" s="476"/>
      <c r="L125" s="234">
        <v>1967288</v>
      </c>
      <c r="M125" s="234"/>
      <c r="N125" s="234"/>
      <c r="O125" s="234"/>
      <c r="P125" s="234">
        <v>371159</v>
      </c>
      <c r="Q125" s="234">
        <v>355926</v>
      </c>
      <c r="R125" s="234">
        <v>348109</v>
      </c>
      <c r="S125" s="234">
        <v>390121</v>
      </c>
      <c r="T125" s="234">
        <v>393529</v>
      </c>
      <c r="U125" s="234">
        <v>409853</v>
      </c>
      <c r="V125" s="234">
        <v>434085</v>
      </c>
      <c r="W125" s="234">
        <v>499150</v>
      </c>
      <c r="X125" s="234">
        <v>359029</v>
      </c>
      <c r="Y125" s="234">
        <v>278162</v>
      </c>
      <c r="Z125" s="234">
        <v>416121</v>
      </c>
    </row>
    <row r="126" spans="1:26">
      <c r="B126" s="227" t="s">
        <v>293</v>
      </c>
      <c r="C126" s="455">
        <f t="shared" ref="C126:K126" si="39">SUM(C124+C112+C96)</f>
        <v>15066333</v>
      </c>
      <c r="D126" s="455">
        <f t="shared" si="39"/>
        <v>17252173</v>
      </c>
      <c r="E126" s="455">
        <f t="shared" si="39"/>
        <v>17417558</v>
      </c>
      <c r="F126" s="455">
        <f t="shared" si="39"/>
        <v>17534705</v>
      </c>
      <c r="G126" s="455">
        <f t="shared" si="39"/>
        <v>18907128</v>
      </c>
      <c r="H126" s="455">
        <f t="shared" si="39"/>
        <v>18542224</v>
      </c>
      <c r="I126" s="455">
        <f t="shared" si="39"/>
        <v>19169401</v>
      </c>
      <c r="J126" s="455">
        <f t="shared" si="39"/>
        <v>19908537</v>
      </c>
      <c r="K126" s="455">
        <f t="shared" si="39"/>
        <v>20014346</v>
      </c>
      <c r="L126" s="260">
        <f>SUM(L124+L112+L96+L125)</f>
        <v>21599094</v>
      </c>
      <c r="M126" s="455">
        <f>SUM(M124+M112+M96)</f>
        <v>20731467</v>
      </c>
      <c r="N126" s="455">
        <f>SUM(N124+N112+N96)</f>
        <v>22431569</v>
      </c>
      <c r="O126" s="455">
        <f>SUM(O124+O112+O96)</f>
        <v>22168547</v>
      </c>
      <c r="P126" s="260">
        <f>SUM(P124+P112+P96+P125)</f>
        <v>24711531</v>
      </c>
      <c r="Q126" s="260">
        <f>SUM(Q124+Q112+Q96+Q125)</f>
        <v>26505399</v>
      </c>
      <c r="R126" s="260">
        <f>SUM(R124+R112+R96+R125)</f>
        <v>27869531</v>
      </c>
      <c r="S126" s="260">
        <f>SUM(S124+S112+S96+S125)</f>
        <v>28193896</v>
      </c>
      <c r="T126" s="260">
        <v>28976739</v>
      </c>
      <c r="U126" s="260">
        <v>30008395</v>
      </c>
      <c r="V126" s="260">
        <v>31193101</v>
      </c>
      <c r="W126" s="260">
        <v>32100817</v>
      </c>
      <c r="X126" s="260">
        <f>SUM(X124+X112+X96+X125)</f>
        <v>32243550</v>
      </c>
      <c r="Y126" s="260">
        <f t="shared" ref="Y126" si="40">SUM(Y124+Y112+Y96+Y125)</f>
        <v>33749701</v>
      </c>
      <c r="Z126" s="735">
        <v>34161217</v>
      </c>
    </row>
    <row r="127" spans="1:26">
      <c r="C127" s="468">
        <f>+C126-C77</f>
        <v>-666.52381999976933</v>
      </c>
      <c r="D127" s="468">
        <f t="shared" ref="D127:R127" si="41">+D126-D77</f>
        <v>-0.11524000018835068</v>
      </c>
      <c r="E127" s="468">
        <f t="shared" si="41"/>
        <v>0</v>
      </c>
      <c r="F127" s="468">
        <f t="shared" si="41"/>
        <v>0</v>
      </c>
      <c r="G127" s="468">
        <f t="shared" si="41"/>
        <v>0</v>
      </c>
      <c r="H127" s="468">
        <f t="shared" si="41"/>
        <v>0</v>
      </c>
      <c r="I127" s="468">
        <f t="shared" si="41"/>
        <v>0</v>
      </c>
      <c r="J127" s="468">
        <f t="shared" si="41"/>
        <v>0</v>
      </c>
      <c r="K127" s="468">
        <f t="shared" si="41"/>
        <v>0</v>
      </c>
      <c r="L127" s="468">
        <f t="shared" si="41"/>
        <v>0</v>
      </c>
      <c r="M127" s="468">
        <f t="shared" si="41"/>
        <v>0</v>
      </c>
      <c r="N127" s="468">
        <f t="shared" si="41"/>
        <v>0</v>
      </c>
      <c r="O127" s="468">
        <f t="shared" si="41"/>
        <v>0</v>
      </c>
      <c r="P127" s="468">
        <f t="shared" si="41"/>
        <v>-1</v>
      </c>
      <c r="Q127" s="468">
        <f t="shared" si="41"/>
        <v>0</v>
      </c>
      <c r="R127" s="468">
        <f t="shared" si="41"/>
        <v>0</v>
      </c>
      <c r="S127" s="263"/>
      <c r="X127" s="634">
        <f>X126-X77</f>
        <v>0</v>
      </c>
    </row>
    <row r="128" spans="1:26" ht="15" customHeight="1">
      <c r="L128" s="447"/>
      <c r="P128" s="263"/>
      <c r="Q128" s="263"/>
      <c r="R128" s="263"/>
      <c r="S128" s="263"/>
    </row>
    <row r="129" spans="2:26" ht="15">
      <c r="B129" s="11" t="s">
        <v>294</v>
      </c>
      <c r="L129" s="447"/>
      <c r="P129" s="263"/>
      <c r="Q129" s="263"/>
      <c r="R129" s="263"/>
      <c r="S129" s="263"/>
    </row>
    <row r="130" spans="2:26" ht="15">
      <c r="B130" s="13" t="s">
        <v>180</v>
      </c>
      <c r="L130" s="447"/>
      <c r="P130" s="263"/>
      <c r="Q130" s="263"/>
      <c r="R130" s="263"/>
      <c r="S130" s="263"/>
    </row>
    <row r="131" spans="2:26" ht="14.4" customHeight="1">
      <c r="L131" s="447"/>
      <c r="P131" s="263"/>
      <c r="Q131" s="263"/>
      <c r="R131" s="263"/>
      <c r="S131" s="263"/>
    </row>
    <row r="132" spans="2:26">
      <c r="B132" s="772" t="s">
        <v>295</v>
      </c>
      <c r="C132" s="774" t="s">
        <v>181</v>
      </c>
      <c r="D132" s="774"/>
      <c r="E132" s="774"/>
      <c r="F132" s="774"/>
      <c r="G132" s="774"/>
      <c r="H132" s="774"/>
      <c r="I132" s="774"/>
      <c r="J132" s="774"/>
      <c r="K132" s="774"/>
      <c r="L132" s="774"/>
      <c r="M132" s="774"/>
      <c r="N132" s="774"/>
      <c r="O132" s="774"/>
      <c r="P132" s="774"/>
      <c r="Q132" s="448"/>
      <c r="R132" s="448"/>
      <c r="S132" s="500"/>
      <c r="T132" s="500"/>
      <c r="U132" s="444"/>
      <c r="V132" s="444"/>
      <c r="W132" s="444"/>
      <c r="X132" s="500"/>
      <c r="Y132" s="444"/>
      <c r="Z132" s="444"/>
    </row>
    <row r="133" spans="2:26">
      <c r="B133" s="772"/>
      <c r="C133" s="221">
        <v>2016</v>
      </c>
      <c r="D133" s="49">
        <v>2017</v>
      </c>
      <c r="E133" s="49" t="s">
        <v>182</v>
      </c>
      <c r="F133" s="49" t="s">
        <v>183</v>
      </c>
      <c r="G133" s="49" t="s">
        <v>184</v>
      </c>
      <c r="H133" s="49" t="s">
        <v>185</v>
      </c>
      <c r="I133" s="49" t="s">
        <v>186</v>
      </c>
      <c r="J133" s="49" t="s">
        <v>187</v>
      </c>
      <c r="K133" s="49" t="s">
        <v>188</v>
      </c>
      <c r="L133" s="340" t="s">
        <v>189</v>
      </c>
      <c r="M133" s="49" t="s">
        <v>190</v>
      </c>
      <c r="N133" s="49" t="s">
        <v>191</v>
      </c>
      <c r="O133" s="49" t="s">
        <v>192</v>
      </c>
      <c r="P133" s="449" t="s">
        <v>193</v>
      </c>
      <c r="Q133" s="449" t="s">
        <v>194</v>
      </c>
      <c r="R133" s="449" t="s">
        <v>195</v>
      </c>
      <c r="S133" s="449" t="s">
        <v>196</v>
      </c>
      <c r="T133" s="449" t="s">
        <v>197</v>
      </c>
      <c r="U133" s="449" t="s">
        <v>198</v>
      </c>
      <c r="V133" s="449" t="s">
        <v>199</v>
      </c>
      <c r="W133" s="449" t="s">
        <v>200</v>
      </c>
      <c r="X133" s="449" t="s">
        <v>1153</v>
      </c>
      <c r="Y133" s="449" t="s">
        <v>1168</v>
      </c>
      <c r="Z133" s="449" t="s">
        <v>1208</v>
      </c>
    </row>
    <row r="134" spans="2:26">
      <c r="B134" s="38" t="s">
        <v>296</v>
      </c>
      <c r="C134" s="50">
        <v>1099482.87901</v>
      </c>
      <c r="D134" s="50">
        <v>2039364</v>
      </c>
      <c r="E134" s="50">
        <f t="shared" ref="E134:N134" si="42">SUM(E135:E136)</f>
        <v>834640</v>
      </c>
      <c r="F134" s="50">
        <f t="shared" si="42"/>
        <v>844171</v>
      </c>
      <c r="G134" s="50">
        <f t="shared" si="42"/>
        <v>716485</v>
      </c>
      <c r="H134" s="50">
        <f t="shared" si="42"/>
        <v>808236</v>
      </c>
      <c r="I134" s="50">
        <f t="shared" si="42"/>
        <v>806853</v>
      </c>
      <c r="J134" s="50">
        <f t="shared" si="42"/>
        <v>807586</v>
      </c>
      <c r="K134" s="50">
        <f t="shared" si="42"/>
        <v>782483</v>
      </c>
      <c r="L134" s="259">
        <f t="shared" si="42"/>
        <v>852480</v>
      </c>
      <c r="M134" s="50">
        <f t="shared" si="42"/>
        <v>851478</v>
      </c>
      <c r="N134" s="50">
        <f t="shared" si="42"/>
        <v>1700533</v>
      </c>
      <c r="O134" s="50">
        <f>SUM(O135:O136)</f>
        <v>956151</v>
      </c>
      <c r="P134" s="257">
        <f>P135+P136</f>
        <v>989357</v>
      </c>
      <c r="Q134" s="257">
        <f>Q135+Q136</f>
        <v>1000176</v>
      </c>
      <c r="R134" s="257">
        <v>922052.06234039995</v>
      </c>
      <c r="S134" s="234">
        <f t="shared" ref="S134:T134" si="43">S135+S136</f>
        <v>913149.23843959998</v>
      </c>
      <c r="T134" s="234">
        <f t="shared" si="43"/>
        <v>829950</v>
      </c>
      <c r="U134" s="234">
        <v>843349</v>
      </c>
      <c r="V134" s="234">
        <v>894435</v>
      </c>
      <c r="W134" s="234">
        <v>1106247</v>
      </c>
      <c r="X134" s="234">
        <f>SUM(X135:X136)</f>
        <v>1072375</v>
      </c>
      <c r="Y134" s="651">
        <f>SUM(Y135:Y136)</f>
        <v>1032113</v>
      </c>
      <c r="Z134" s="651">
        <v>1031340</v>
      </c>
    </row>
    <row r="135" spans="2:26">
      <c r="B135" s="38" t="s">
        <v>297</v>
      </c>
      <c r="C135" s="50">
        <v>1076083</v>
      </c>
      <c r="D135" s="50">
        <v>2013296</v>
      </c>
      <c r="E135" s="50">
        <v>827908</v>
      </c>
      <c r="F135" s="50">
        <v>837376</v>
      </c>
      <c r="G135" s="50">
        <v>709948</v>
      </c>
      <c r="H135" s="50">
        <v>801395</v>
      </c>
      <c r="I135" s="50">
        <v>799831</v>
      </c>
      <c r="J135" s="50">
        <v>800431</v>
      </c>
      <c r="K135" s="50">
        <v>772603</v>
      </c>
      <c r="L135" s="259">
        <v>844689</v>
      </c>
      <c r="M135" s="50">
        <v>843778</v>
      </c>
      <c r="N135" s="50">
        <v>1693051</v>
      </c>
      <c r="O135" s="50">
        <v>944448</v>
      </c>
      <c r="P135" s="281">
        <v>970710</v>
      </c>
      <c r="Q135" s="257">
        <v>991025</v>
      </c>
      <c r="R135" s="257">
        <v>898410</v>
      </c>
      <c r="S135" s="234">
        <v>896986</v>
      </c>
      <c r="T135" s="234">
        <v>820516</v>
      </c>
      <c r="U135" s="234">
        <v>838279</v>
      </c>
      <c r="V135" s="234">
        <v>886683</v>
      </c>
      <c r="W135" s="234">
        <v>1095571</v>
      </c>
      <c r="X135" s="234">
        <v>1062857</v>
      </c>
      <c r="Y135" s="234">
        <v>1021616</v>
      </c>
      <c r="Z135" s="234">
        <v>1021082</v>
      </c>
    </row>
    <row r="136" spans="2:26">
      <c r="B136" s="38" t="s">
        <v>249</v>
      </c>
      <c r="C136" s="50">
        <v>23399.879010000001</v>
      </c>
      <c r="D136" s="50">
        <v>26068</v>
      </c>
      <c r="E136" s="50">
        <v>6732</v>
      </c>
      <c r="F136" s="50">
        <v>6795</v>
      </c>
      <c r="G136" s="50">
        <v>6537</v>
      </c>
      <c r="H136" s="50">
        <v>6841</v>
      </c>
      <c r="I136" s="50">
        <v>7022</v>
      </c>
      <c r="J136" s="50">
        <v>7155</v>
      </c>
      <c r="K136" s="50">
        <v>9880</v>
      </c>
      <c r="L136" s="259">
        <v>7791</v>
      </c>
      <c r="M136" s="50">
        <v>7700</v>
      </c>
      <c r="N136" s="50">
        <v>7482</v>
      </c>
      <c r="O136" s="50">
        <v>11703</v>
      </c>
      <c r="P136" s="281">
        <v>18647</v>
      </c>
      <c r="Q136" s="257">
        <v>9151</v>
      </c>
      <c r="R136" s="257">
        <v>23642.062340399996</v>
      </c>
      <c r="S136" s="234">
        <v>16163.238439600005</v>
      </c>
      <c r="T136" s="234">
        <v>9434</v>
      </c>
      <c r="U136" s="234">
        <v>5070</v>
      </c>
      <c r="V136" s="234">
        <v>7752</v>
      </c>
      <c r="W136" s="234">
        <v>10676</v>
      </c>
      <c r="X136" s="234">
        <v>9518</v>
      </c>
      <c r="Y136" s="234">
        <v>10497</v>
      </c>
      <c r="Z136" s="234">
        <v>10258</v>
      </c>
    </row>
    <row r="137" spans="2:26">
      <c r="B137" s="38" t="s">
        <v>298</v>
      </c>
      <c r="C137" s="50">
        <v>-148298</v>
      </c>
      <c r="D137" s="50">
        <v>-261532</v>
      </c>
      <c r="E137" s="50">
        <v>-102316</v>
      </c>
      <c r="F137" s="50">
        <v>-104763</v>
      </c>
      <c r="G137" s="50">
        <v>-110622</v>
      </c>
      <c r="H137" s="50">
        <v>-118540</v>
      </c>
      <c r="I137" s="50">
        <v>-112689</v>
      </c>
      <c r="J137" s="50">
        <v>-115180</v>
      </c>
      <c r="K137" s="50">
        <v>-123950</v>
      </c>
      <c r="L137" s="259">
        <v>-123020</v>
      </c>
      <c r="M137" s="257">
        <v>-117137</v>
      </c>
      <c r="N137" s="50">
        <v>-203946</v>
      </c>
      <c r="O137" s="50">
        <v>-134892</v>
      </c>
      <c r="P137" s="257">
        <v>-150363</v>
      </c>
      <c r="Q137" s="257">
        <v>-147343</v>
      </c>
      <c r="R137" s="257">
        <v>-129734</v>
      </c>
      <c r="S137" s="234">
        <v>-154770</v>
      </c>
      <c r="T137" s="234">
        <v>-165237</v>
      </c>
      <c r="U137" s="234">
        <v>-127927</v>
      </c>
      <c r="V137" s="234">
        <v>-165237</v>
      </c>
      <c r="W137" s="234">
        <v>-186991</v>
      </c>
      <c r="X137" s="234">
        <v>-181184</v>
      </c>
      <c r="Y137" s="651">
        <v>-140498</v>
      </c>
      <c r="Z137" s="651">
        <v>-139624</v>
      </c>
    </row>
    <row r="138" spans="2:26">
      <c r="B138" s="223" t="s">
        <v>299</v>
      </c>
      <c r="C138" s="58">
        <f>SUM(C135:C137)</f>
        <v>951184.87901000003</v>
      </c>
      <c r="D138" s="58">
        <f>SUM(D135:D137)</f>
        <v>1777832</v>
      </c>
      <c r="E138" s="58">
        <f t="shared" ref="E138:P138" si="44">SUM(E135:E137)</f>
        <v>732324</v>
      </c>
      <c r="F138" s="58">
        <f t="shared" si="44"/>
        <v>739408</v>
      </c>
      <c r="G138" s="58">
        <f t="shared" si="44"/>
        <v>605863</v>
      </c>
      <c r="H138" s="58">
        <f t="shared" si="44"/>
        <v>689696</v>
      </c>
      <c r="I138" s="58">
        <f t="shared" si="44"/>
        <v>694164</v>
      </c>
      <c r="J138" s="58">
        <f t="shared" si="44"/>
        <v>692406</v>
      </c>
      <c r="K138" s="58">
        <f t="shared" si="44"/>
        <v>658533</v>
      </c>
      <c r="L138" s="445">
        <f t="shared" si="44"/>
        <v>729460</v>
      </c>
      <c r="M138" s="58">
        <f t="shared" si="44"/>
        <v>734341</v>
      </c>
      <c r="N138" s="58">
        <f t="shared" si="44"/>
        <v>1496587</v>
      </c>
      <c r="O138" s="58">
        <f t="shared" si="44"/>
        <v>821259</v>
      </c>
      <c r="P138" s="58">
        <f t="shared" si="44"/>
        <v>838994</v>
      </c>
      <c r="Q138" s="58">
        <f>SUM(Q135:Q137)</f>
        <v>852833</v>
      </c>
      <c r="R138" s="58">
        <f>SUM(R135:R137)</f>
        <v>792318.06234039995</v>
      </c>
      <c r="S138" s="501">
        <f>SUM(S135:S137)</f>
        <v>758379.23843959998</v>
      </c>
      <c r="T138" s="501">
        <f>SUM(T135:T137)</f>
        <v>664713</v>
      </c>
      <c r="U138" s="501">
        <v>715422</v>
      </c>
      <c r="V138" s="501">
        <v>729198</v>
      </c>
      <c r="W138" s="501">
        <v>919256</v>
      </c>
      <c r="X138" s="501">
        <f>SUM(X135:X137)</f>
        <v>891191</v>
      </c>
      <c r="Y138" s="501">
        <f>SUM(Y135:Y137)</f>
        <v>891615</v>
      </c>
      <c r="Z138" s="501">
        <v>891716</v>
      </c>
    </row>
    <row r="139" spans="2:26">
      <c r="B139" s="223" t="s">
        <v>300</v>
      </c>
      <c r="C139" s="58">
        <f>SUM(C140:C144)</f>
        <v>-528915.87901000003</v>
      </c>
      <c r="D139" s="58">
        <f t="shared" ref="D139:P139" si="45">SUM(D140:D144)</f>
        <v>-811211</v>
      </c>
      <c r="E139" s="58">
        <f>SUM(E140:E144)</f>
        <v>-259669</v>
      </c>
      <c r="F139" s="58">
        <f t="shared" si="45"/>
        <v>-266599.70914000017</v>
      </c>
      <c r="G139" s="58">
        <f t="shared" si="45"/>
        <v>-265301.68775999983</v>
      </c>
      <c r="H139" s="58">
        <f>SUM(H140:H144)</f>
        <v>-310723</v>
      </c>
      <c r="I139" s="58">
        <f t="shared" si="45"/>
        <v>-275211</v>
      </c>
      <c r="J139" s="58">
        <f t="shared" si="45"/>
        <v>-315199</v>
      </c>
      <c r="K139" s="58">
        <f t="shared" si="45"/>
        <v>-293376</v>
      </c>
      <c r="L139" s="445">
        <f t="shared" si="45"/>
        <v>-274963</v>
      </c>
      <c r="M139" s="58">
        <f>SUM(M140:M144)</f>
        <v>-270109</v>
      </c>
      <c r="N139" s="58">
        <f t="shared" si="45"/>
        <v>-266759</v>
      </c>
      <c r="O139" s="58">
        <f t="shared" si="45"/>
        <v>-279007</v>
      </c>
      <c r="P139" s="58">
        <f t="shared" si="45"/>
        <v>-335923</v>
      </c>
      <c r="Q139" s="58">
        <f>SUM(Q140:Q144)</f>
        <v>-279729</v>
      </c>
      <c r="R139" s="58">
        <f>SUM(R140:R144)</f>
        <v>-298611.75536040001</v>
      </c>
      <c r="S139" s="498">
        <f t="shared" ref="S139:T139" si="46">SUM(S140:S144)</f>
        <v>-297045.54541960004</v>
      </c>
      <c r="T139" s="498">
        <f t="shared" si="46"/>
        <v>-336565</v>
      </c>
      <c r="U139" s="498">
        <v>-308650</v>
      </c>
      <c r="V139" s="498">
        <v>-309209</v>
      </c>
      <c r="W139" s="498">
        <v>-319621</v>
      </c>
      <c r="X139" s="498">
        <f t="shared" ref="X139" si="47">SUM(X140:X144)</f>
        <v>-391330</v>
      </c>
      <c r="Y139" s="498">
        <f t="shared" ref="Y139" si="48">SUM(Y140:Y144)</f>
        <v>-332649</v>
      </c>
      <c r="Z139" s="498">
        <v>-339705</v>
      </c>
    </row>
    <row r="140" spans="2:26">
      <c r="B140" s="38" t="s">
        <v>210</v>
      </c>
      <c r="C140" s="50">
        <v>-275181</v>
      </c>
      <c r="D140" s="50">
        <v>-302269</v>
      </c>
      <c r="E140" s="50">
        <v>-77724</v>
      </c>
      <c r="F140" s="50">
        <v>-79437.08490999999</v>
      </c>
      <c r="G140" s="50">
        <v>-79695.635910000012</v>
      </c>
      <c r="H140" s="50">
        <v>-84104</v>
      </c>
      <c r="I140" s="50">
        <v>-83116</v>
      </c>
      <c r="J140" s="50">
        <v>-86108</v>
      </c>
      <c r="K140" s="50">
        <v>-87512</v>
      </c>
      <c r="L140" s="259">
        <v>-79759</v>
      </c>
      <c r="M140" s="257">
        <v>-74866</v>
      </c>
      <c r="N140" s="50">
        <v>-75789</v>
      </c>
      <c r="O140" s="50">
        <v>-79077</v>
      </c>
      <c r="P140" s="257">
        <v>-96909</v>
      </c>
      <c r="Q140" s="257">
        <v>-91145</v>
      </c>
      <c r="R140" s="257">
        <v>-94312.440979999999</v>
      </c>
      <c r="S140" s="234">
        <v>-95299.559020000001</v>
      </c>
      <c r="T140" s="234">
        <v>-99790</v>
      </c>
      <c r="U140" s="234">
        <v>-98621</v>
      </c>
      <c r="V140" s="234">
        <v>-96848</v>
      </c>
      <c r="W140" s="234">
        <v>-92294</v>
      </c>
      <c r="X140" s="234">
        <v>-117725</v>
      </c>
      <c r="Y140" s="234">
        <v>-92209</v>
      </c>
      <c r="Z140" s="234">
        <v>-102392</v>
      </c>
    </row>
    <row r="141" spans="2:26">
      <c r="B141" s="38" t="s">
        <v>301</v>
      </c>
      <c r="C141" s="50">
        <v>-13746</v>
      </c>
      <c r="D141" s="50">
        <v>-13602</v>
      </c>
      <c r="E141" s="50">
        <v>-3016</v>
      </c>
      <c r="F141" s="50">
        <v>-3361.6449299999986</v>
      </c>
      <c r="G141" s="50">
        <v>-3472.1449000000016</v>
      </c>
      <c r="H141" s="50">
        <v>-5460</v>
      </c>
      <c r="I141" s="50">
        <v>-3151</v>
      </c>
      <c r="J141" s="50">
        <v>-3661</v>
      </c>
      <c r="K141" s="50">
        <v>-3935</v>
      </c>
      <c r="L141" s="259">
        <v>-3392</v>
      </c>
      <c r="M141" s="257">
        <v>-3005</v>
      </c>
      <c r="N141" s="50">
        <v>-3973</v>
      </c>
      <c r="O141" s="50">
        <v>-4052</v>
      </c>
      <c r="P141" s="257">
        <v>-7293</v>
      </c>
      <c r="Q141" s="257">
        <v>-3689</v>
      </c>
      <c r="R141" s="257">
        <v>-5354</v>
      </c>
      <c r="S141" s="234">
        <v>-3848</v>
      </c>
      <c r="T141" s="234">
        <v>-6073</v>
      </c>
      <c r="U141" s="234">
        <v>-4403</v>
      </c>
      <c r="V141" s="234">
        <v>-5419</v>
      </c>
      <c r="W141" s="234">
        <v>-5424</v>
      </c>
      <c r="X141" s="234">
        <v>-8377</v>
      </c>
      <c r="Y141" s="234">
        <v>-5452</v>
      </c>
      <c r="Z141" s="234">
        <v>-5709</v>
      </c>
    </row>
    <row r="142" spans="2:26">
      <c r="B142" s="38" t="s">
        <v>212</v>
      </c>
      <c r="C142" s="50">
        <v>-124276.87901</v>
      </c>
      <c r="D142" s="50">
        <v>-129992</v>
      </c>
      <c r="E142" s="50">
        <v>-27374</v>
      </c>
      <c r="F142" s="50">
        <v>-28499.908660000005</v>
      </c>
      <c r="G142" s="50">
        <v>-30424.873219999998</v>
      </c>
      <c r="H142" s="50">
        <v>-50225</v>
      </c>
      <c r="I142" s="50">
        <v>-26995</v>
      </c>
      <c r="J142" s="50">
        <v>-60163</v>
      </c>
      <c r="K142" s="50">
        <v>-38649</v>
      </c>
      <c r="L142" s="259">
        <v>-36223</v>
      </c>
      <c r="M142" s="257">
        <v>-30082</v>
      </c>
      <c r="N142" s="50">
        <v>-26967</v>
      </c>
      <c r="O142" s="50">
        <v>-31328</v>
      </c>
      <c r="P142" s="257">
        <v>-52321</v>
      </c>
      <c r="Q142" s="257">
        <v>-30613</v>
      </c>
      <c r="R142" s="257">
        <v>-32042.271390399997</v>
      </c>
      <c r="S142" s="234">
        <v>-33149.029389600008</v>
      </c>
      <c r="T142" s="234">
        <v>-58873</v>
      </c>
      <c r="U142" s="234">
        <v>-34775</v>
      </c>
      <c r="V142" s="234">
        <v>-39454</v>
      </c>
      <c r="W142" s="234">
        <v>-44017</v>
      </c>
      <c r="X142" s="234">
        <v>-72721</v>
      </c>
      <c r="Y142" s="234">
        <v>-43681</v>
      </c>
      <c r="Z142" s="234">
        <v>-44615</v>
      </c>
    </row>
    <row r="143" spans="2:26">
      <c r="B143" s="38" t="s">
        <v>213</v>
      </c>
      <c r="C143" s="50" t="s">
        <v>214</v>
      </c>
      <c r="D143" s="50">
        <v>-328174</v>
      </c>
      <c r="E143" s="50">
        <v>-145819</v>
      </c>
      <c r="F143" s="50">
        <v>-144676.13161000016</v>
      </c>
      <c r="G143" s="50">
        <v>-143519.27898999985</v>
      </c>
      <c r="H143" s="50">
        <v>-144958</v>
      </c>
      <c r="I143" s="50">
        <v>-144967</v>
      </c>
      <c r="J143" s="50">
        <v>-144568</v>
      </c>
      <c r="K143" s="50">
        <v>-143908</v>
      </c>
      <c r="L143" s="259">
        <v>-142114</v>
      </c>
      <c r="M143" s="257">
        <v>-140551</v>
      </c>
      <c r="N143" s="50">
        <v>-140231</v>
      </c>
      <c r="O143" s="50">
        <v>-139803</v>
      </c>
      <c r="P143" s="257">
        <v>-141730</v>
      </c>
      <c r="Q143" s="257">
        <v>-136891</v>
      </c>
      <c r="R143" s="257">
        <v>-148054.9228</v>
      </c>
      <c r="S143" s="234">
        <v>-144258.0772</v>
      </c>
      <c r="T143" s="234">
        <v>-149899</v>
      </c>
      <c r="U143" s="234">
        <v>-146994</v>
      </c>
      <c r="V143" s="234">
        <v>-147044</v>
      </c>
      <c r="W143" s="234">
        <v>-164205</v>
      </c>
      <c r="X143" s="234">
        <v>-162450</v>
      </c>
      <c r="Y143" s="234">
        <v>-167390</v>
      </c>
      <c r="Z143" s="234">
        <v>-161939</v>
      </c>
    </row>
    <row r="144" spans="2:26">
      <c r="B144" s="38" t="s">
        <v>249</v>
      </c>
      <c r="C144" s="50">
        <v>-115712</v>
      </c>
      <c r="D144" s="50">
        <v>-37174</v>
      </c>
      <c r="E144" s="50">
        <v>-5736</v>
      </c>
      <c r="F144" s="50">
        <v>-10624.939030000001</v>
      </c>
      <c r="G144" s="50">
        <v>-8189.7547399999985</v>
      </c>
      <c r="H144" s="50">
        <v>-25976</v>
      </c>
      <c r="I144" s="50">
        <v>-16982</v>
      </c>
      <c r="J144" s="50">
        <v>-20699</v>
      </c>
      <c r="K144" s="50">
        <v>-19372</v>
      </c>
      <c r="L144" s="259">
        <v>-13475</v>
      </c>
      <c r="M144" s="257">
        <v>-21605</v>
      </c>
      <c r="N144" s="50">
        <v>-19799</v>
      </c>
      <c r="O144" s="50">
        <v>-24747</v>
      </c>
      <c r="P144" s="257">
        <v>-37670</v>
      </c>
      <c r="Q144" s="257">
        <v>-17391</v>
      </c>
      <c r="R144" s="257">
        <v>-18848.120190000001</v>
      </c>
      <c r="S144" s="234">
        <v>-20490.879809999999</v>
      </c>
      <c r="T144" s="234">
        <v>-21930</v>
      </c>
      <c r="U144" s="234">
        <v>-23857</v>
      </c>
      <c r="V144" s="234">
        <v>-20444</v>
      </c>
      <c r="W144" s="234">
        <v>-13681</v>
      </c>
      <c r="X144" s="234">
        <v>-30057</v>
      </c>
      <c r="Y144" s="234">
        <v>-23917</v>
      </c>
      <c r="Z144" s="234">
        <v>-25050</v>
      </c>
    </row>
    <row r="145" spans="2:26">
      <c r="B145" s="223" t="s">
        <v>217</v>
      </c>
      <c r="C145" s="58">
        <f t="shared" ref="C145:T145" si="49">SUM(C138:C139)</f>
        <v>422269</v>
      </c>
      <c r="D145" s="58">
        <f t="shared" si="49"/>
        <v>966621</v>
      </c>
      <c r="E145" s="58">
        <f t="shared" si="49"/>
        <v>472655</v>
      </c>
      <c r="F145" s="58">
        <f t="shared" si="49"/>
        <v>472808.29085999983</v>
      </c>
      <c r="G145" s="58">
        <f t="shared" si="49"/>
        <v>340561.31224000017</v>
      </c>
      <c r="H145" s="58">
        <f t="shared" si="49"/>
        <v>378973</v>
      </c>
      <c r="I145" s="58">
        <f t="shared" si="49"/>
        <v>418953</v>
      </c>
      <c r="J145" s="58">
        <f t="shared" si="49"/>
        <v>377207</v>
      </c>
      <c r="K145" s="58">
        <f t="shared" si="49"/>
        <v>365157</v>
      </c>
      <c r="L145" s="445">
        <f t="shared" si="49"/>
        <v>454497</v>
      </c>
      <c r="M145" s="58">
        <f t="shared" si="49"/>
        <v>464232</v>
      </c>
      <c r="N145" s="58">
        <f t="shared" si="49"/>
        <v>1229828</v>
      </c>
      <c r="O145" s="58">
        <f t="shared" si="49"/>
        <v>542252</v>
      </c>
      <c r="P145" s="58">
        <f t="shared" si="49"/>
        <v>503071</v>
      </c>
      <c r="Q145" s="58">
        <f t="shared" si="49"/>
        <v>573104</v>
      </c>
      <c r="R145" s="58">
        <f t="shared" si="49"/>
        <v>493706.30697999994</v>
      </c>
      <c r="S145" s="501">
        <f t="shared" si="49"/>
        <v>461333.69301999995</v>
      </c>
      <c r="T145" s="501">
        <f t="shared" si="49"/>
        <v>328148</v>
      </c>
      <c r="U145" s="501">
        <v>406772</v>
      </c>
      <c r="V145" s="501">
        <v>419989</v>
      </c>
      <c r="W145" s="501">
        <v>599635</v>
      </c>
      <c r="X145" s="501">
        <f t="shared" ref="X145" si="50">SUM(X138:X139)</f>
        <v>499861</v>
      </c>
      <c r="Y145" s="501">
        <f t="shared" ref="Y145" si="51">SUM(Y138:Y139)</f>
        <v>558966</v>
      </c>
      <c r="Z145" s="501">
        <v>552011</v>
      </c>
    </row>
    <row r="146" spans="2:26">
      <c r="B146" s="38" t="s">
        <v>302</v>
      </c>
      <c r="C146" s="50">
        <f>SUM(C147:C151)</f>
        <v>-109929</v>
      </c>
      <c r="D146" s="50">
        <f>SUM(D147:D151)</f>
        <v>-66216</v>
      </c>
      <c r="E146" s="50">
        <v>-35293</v>
      </c>
      <c r="F146" s="50">
        <f t="shared" ref="F146:Q146" si="52">SUM(F147:F151)</f>
        <v>-25692</v>
      </c>
      <c r="G146" s="50">
        <f t="shared" si="52"/>
        <v>-49331</v>
      </c>
      <c r="H146" s="50">
        <f t="shared" si="52"/>
        <v>-31898</v>
      </c>
      <c r="I146" s="50">
        <f t="shared" si="52"/>
        <v>-54493</v>
      </c>
      <c r="J146" s="50">
        <f t="shared" si="52"/>
        <v>-49190</v>
      </c>
      <c r="K146" s="50">
        <f t="shared" si="52"/>
        <v>-35369</v>
      </c>
      <c r="L146" s="259">
        <f t="shared" si="52"/>
        <v>-46970</v>
      </c>
      <c r="M146" s="257">
        <f t="shared" si="52"/>
        <v>-48618</v>
      </c>
      <c r="N146" s="50">
        <f t="shared" si="52"/>
        <v>-27897</v>
      </c>
      <c r="O146" s="50">
        <f t="shared" si="52"/>
        <v>-51135</v>
      </c>
      <c r="P146" s="50">
        <f t="shared" si="52"/>
        <v>-80333</v>
      </c>
      <c r="Q146" s="257">
        <f t="shared" si="52"/>
        <v>-116197</v>
      </c>
      <c r="R146" s="257">
        <v>-138431</v>
      </c>
      <c r="S146" s="234">
        <f t="shared" ref="S146:T146" si="53">SUM(S147:S151)</f>
        <v>-159706.97498</v>
      </c>
      <c r="T146" s="234">
        <f t="shared" si="53"/>
        <v>-215905</v>
      </c>
      <c r="U146" s="234">
        <v>-232100</v>
      </c>
      <c r="V146" s="234">
        <v>-301033</v>
      </c>
      <c r="W146" s="234">
        <v>-125416</v>
      </c>
      <c r="X146" s="234">
        <f t="shared" ref="X146" si="54">SUM(X147:X151)</f>
        <v>-155004</v>
      </c>
      <c r="Y146" s="651">
        <f t="shared" ref="Y146" si="55">SUM(Y147:Y151)</f>
        <v>-207881</v>
      </c>
      <c r="Z146" s="651">
        <v>-257895</v>
      </c>
    </row>
    <row r="147" spans="2:26">
      <c r="B147" s="38" t="s">
        <v>303</v>
      </c>
      <c r="C147" s="50">
        <v>68032</v>
      </c>
      <c r="D147" s="50">
        <v>43907</v>
      </c>
      <c r="E147" s="50">
        <v>10886</v>
      </c>
      <c r="F147" s="50">
        <v>18347</v>
      </c>
      <c r="G147" s="50">
        <v>19329</v>
      </c>
      <c r="H147" s="50">
        <v>25950</v>
      </c>
      <c r="I147" s="50">
        <v>14183</v>
      </c>
      <c r="J147" s="50">
        <v>18601</v>
      </c>
      <c r="K147" s="50">
        <v>19911</v>
      </c>
      <c r="L147" s="259">
        <v>13050</v>
      </c>
      <c r="M147" s="257">
        <v>21983</v>
      </c>
      <c r="N147" s="50">
        <v>10446</v>
      </c>
      <c r="O147" s="50">
        <v>8539</v>
      </c>
      <c r="P147" s="257">
        <v>8279</v>
      </c>
      <c r="Q147" s="257">
        <v>9761</v>
      </c>
      <c r="R147" s="257">
        <v>15396</v>
      </c>
      <c r="S147" s="234">
        <v>15630.025020000001</v>
      </c>
      <c r="T147" s="234">
        <v>28321</v>
      </c>
      <c r="U147" s="234">
        <v>25064</v>
      </c>
      <c r="V147" s="234">
        <v>35116</v>
      </c>
      <c r="W147" s="234">
        <v>41059</v>
      </c>
      <c r="X147" s="234">
        <v>46619</v>
      </c>
      <c r="Y147" s="234">
        <v>32433</v>
      </c>
      <c r="Z147" s="234">
        <v>42807</v>
      </c>
    </row>
    <row r="148" spans="2:26">
      <c r="B148" s="38" t="s">
        <v>304</v>
      </c>
      <c r="C148" s="50">
        <v>-33902</v>
      </c>
      <c r="D148" s="50">
        <v>-31989</v>
      </c>
      <c r="E148" s="50">
        <v>-9620</v>
      </c>
      <c r="F148" s="50">
        <v>-6447</v>
      </c>
      <c r="G148" s="50">
        <v>-17390</v>
      </c>
      <c r="H148" s="50">
        <v>-10500</v>
      </c>
      <c r="I148" s="50">
        <v>-15154</v>
      </c>
      <c r="J148" s="50">
        <v>-17631</v>
      </c>
      <c r="K148" s="50">
        <v>-6225</v>
      </c>
      <c r="L148" s="259">
        <v>-7350</v>
      </c>
      <c r="M148" s="257">
        <v>-26159</v>
      </c>
      <c r="N148" s="50">
        <v>9032</v>
      </c>
      <c r="O148" s="50">
        <v>-15182</v>
      </c>
      <c r="P148" s="257">
        <v>-42342</v>
      </c>
      <c r="Q148" s="257">
        <v>-68620</v>
      </c>
      <c r="R148" s="257">
        <v>-70977</v>
      </c>
      <c r="S148" s="234">
        <v>-75290</v>
      </c>
      <c r="T148" s="234">
        <v>-118492</v>
      </c>
      <c r="U148" s="234">
        <v>-100473</v>
      </c>
      <c r="V148" s="234">
        <v>-167148</v>
      </c>
      <c r="W148" s="234">
        <v>8202</v>
      </c>
      <c r="X148" s="234">
        <v>-32067</v>
      </c>
      <c r="Y148" s="234">
        <v>-86695</v>
      </c>
      <c r="Z148" s="234">
        <v>-101723</v>
      </c>
    </row>
    <row r="149" spans="2:26">
      <c r="B149" s="38" t="s">
        <v>305</v>
      </c>
      <c r="C149" s="50" t="s">
        <v>214</v>
      </c>
      <c r="D149" s="50">
        <v>-10483</v>
      </c>
      <c r="E149" s="50">
        <v>-580</v>
      </c>
      <c r="F149" s="50">
        <v>-580</v>
      </c>
      <c r="G149" s="50">
        <v>-599</v>
      </c>
      <c r="H149" s="50">
        <v>-554</v>
      </c>
      <c r="I149" s="50">
        <v>-205</v>
      </c>
      <c r="J149" s="50">
        <v>-622</v>
      </c>
      <c r="K149" s="50">
        <v>-626</v>
      </c>
      <c r="L149" s="259">
        <v>-667</v>
      </c>
      <c r="M149" s="257">
        <v>-418</v>
      </c>
      <c r="N149" s="50">
        <v>-656</v>
      </c>
      <c r="O149" s="50">
        <v>-613</v>
      </c>
      <c r="P149" s="257">
        <v>-622</v>
      </c>
      <c r="Q149" s="257">
        <v>908</v>
      </c>
      <c r="R149" s="257">
        <v>-126</v>
      </c>
      <c r="S149" s="234">
        <v>-5</v>
      </c>
      <c r="T149" s="234">
        <v>-156</v>
      </c>
      <c r="U149" s="234">
        <v>174</v>
      </c>
      <c r="V149" s="234">
        <v>-159</v>
      </c>
      <c r="W149" s="234">
        <v>-173</v>
      </c>
      <c r="X149" s="234">
        <v>-76</v>
      </c>
      <c r="Y149" s="234">
        <v>-113</v>
      </c>
      <c r="Z149" s="234">
        <v>-83</v>
      </c>
    </row>
    <row r="150" spans="2:26">
      <c r="B150" s="38" t="s">
        <v>222</v>
      </c>
      <c r="C150" s="50">
        <v>-143799</v>
      </c>
      <c r="D150" s="50">
        <v>-111504</v>
      </c>
      <c r="E150" s="50">
        <v>-31704</v>
      </c>
      <c r="F150" s="50">
        <v>-35052</v>
      </c>
      <c r="G150" s="50">
        <v>-40182</v>
      </c>
      <c r="H150" s="50">
        <v>-39491</v>
      </c>
      <c r="I150" s="50">
        <v>-36444</v>
      </c>
      <c r="J150" s="50">
        <v>-36441</v>
      </c>
      <c r="K150" s="50">
        <v>-36635</v>
      </c>
      <c r="L150" s="259">
        <v>-35479</v>
      </c>
      <c r="M150" s="257">
        <v>-36389</v>
      </c>
      <c r="N150" s="50">
        <v>-41007</v>
      </c>
      <c r="O150" s="50">
        <v>-43225</v>
      </c>
      <c r="P150" s="257">
        <v>-46314</v>
      </c>
      <c r="Q150" s="257">
        <v>-62773</v>
      </c>
      <c r="R150" s="257">
        <v>-79492</v>
      </c>
      <c r="S150" s="234">
        <v>-99434</v>
      </c>
      <c r="T150" s="234">
        <v>-124518</v>
      </c>
      <c r="U150" s="234">
        <v>-145881</v>
      </c>
      <c r="V150" s="234">
        <v>-169088</v>
      </c>
      <c r="W150" s="234">
        <v>-171600</v>
      </c>
      <c r="X150" s="234">
        <v>-179049</v>
      </c>
      <c r="Y150" s="234">
        <v>-175503</v>
      </c>
      <c r="Z150" s="234">
        <v>-197083</v>
      </c>
    </row>
    <row r="151" spans="2:26">
      <c r="B151" s="38" t="s">
        <v>249</v>
      </c>
      <c r="C151" s="50">
        <v>-260</v>
      </c>
      <c r="D151" s="50">
        <v>43853</v>
      </c>
      <c r="E151" s="50">
        <v>-4275</v>
      </c>
      <c r="F151" s="50">
        <v>-1960</v>
      </c>
      <c r="G151" s="50">
        <v>-10489</v>
      </c>
      <c r="H151" s="50">
        <v>-7303</v>
      </c>
      <c r="I151" s="50">
        <v>-16873</v>
      </c>
      <c r="J151" s="50">
        <v>-13097</v>
      </c>
      <c r="K151" s="50">
        <v>-11794</v>
      </c>
      <c r="L151" s="259">
        <v>-16524</v>
      </c>
      <c r="M151" s="257">
        <v>-7635</v>
      </c>
      <c r="N151" s="50">
        <v>-5712</v>
      </c>
      <c r="O151" s="50">
        <v>-654</v>
      </c>
      <c r="P151" s="257">
        <v>666</v>
      </c>
      <c r="Q151" s="257">
        <v>4527</v>
      </c>
      <c r="R151" s="257">
        <v>-3232</v>
      </c>
      <c r="S151" s="234">
        <v>-608</v>
      </c>
      <c r="T151" s="234">
        <v>-1060</v>
      </c>
      <c r="U151" s="234">
        <v>-10984</v>
      </c>
      <c r="V151" s="234">
        <v>246</v>
      </c>
      <c r="W151" s="234">
        <v>-2904</v>
      </c>
      <c r="X151" s="234">
        <v>9569</v>
      </c>
      <c r="Y151" s="234">
        <v>21997</v>
      </c>
      <c r="Z151" s="234">
        <v>-1813</v>
      </c>
    </row>
    <row r="152" spans="2:26">
      <c r="B152" s="223" t="s">
        <v>306</v>
      </c>
      <c r="C152" s="58">
        <f t="shared" ref="C152:P152" si="56">SUM(C145:C146)</f>
        <v>312340</v>
      </c>
      <c r="D152" s="58">
        <f t="shared" si="56"/>
        <v>900405</v>
      </c>
      <c r="E152" s="58">
        <f t="shared" si="56"/>
        <v>437362</v>
      </c>
      <c r="F152" s="58">
        <f t="shared" si="56"/>
        <v>447116.29085999983</v>
      </c>
      <c r="G152" s="58">
        <f t="shared" si="56"/>
        <v>291230.31224000017</v>
      </c>
      <c r="H152" s="58">
        <f t="shared" si="56"/>
        <v>347075</v>
      </c>
      <c r="I152" s="58">
        <f t="shared" si="56"/>
        <v>364460</v>
      </c>
      <c r="J152" s="58">
        <f t="shared" si="56"/>
        <v>328017</v>
      </c>
      <c r="K152" s="58">
        <f t="shared" si="56"/>
        <v>329788</v>
      </c>
      <c r="L152" s="445">
        <f t="shared" si="56"/>
        <v>407527</v>
      </c>
      <c r="M152" s="58">
        <f t="shared" si="56"/>
        <v>415614</v>
      </c>
      <c r="N152" s="58">
        <f t="shared" si="56"/>
        <v>1201931</v>
      </c>
      <c r="O152" s="58">
        <f t="shared" si="56"/>
        <v>491117</v>
      </c>
      <c r="P152" s="58">
        <f t="shared" si="56"/>
        <v>422738</v>
      </c>
      <c r="Q152" s="58">
        <f>SUM(Q145:Q146)</f>
        <v>456907</v>
      </c>
      <c r="R152" s="58">
        <f>SUM(R145:R146)</f>
        <v>355275.30697999994</v>
      </c>
      <c r="S152" s="498">
        <f t="shared" ref="S152:T152" si="57">SUM(S145:S146)</f>
        <v>301626.71803999995</v>
      </c>
      <c r="T152" s="498">
        <f t="shared" si="57"/>
        <v>112243</v>
      </c>
      <c r="U152" s="498">
        <v>174672</v>
      </c>
      <c r="V152" s="498">
        <v>118956</v>
      </c>
      <c r="W152" s="498">
        <v>474219</v>
      </c>
      <c r="X152" s="498">
        <f t="shared" ref="X152" si="58">SUM(X145:X146)</f>
        <v>344857</v>
      </c>
      <c r="Y152" s="498">
        <f t="shared" ref="Y152" si="59">SUM(Y145:Y146)</f>
        <v>351085</v>
      </c>
      <c r="Z152" s="498">
        <v>294116</v>
      </c>
    </row>
    <row r="153" spans="2:26">
      <c r="B153" s="38" t="s">
        <v>307</v>
      </c>
      <c r="C153" s="50">
        <v>30152</v>
      </c>
      <c r="D153" s="50">
        <v>18271</v>
      </c>
      <c r="E153" s="50">
        <v>19347</v>
      </c>
      <c r="F153" s="50">
        <v>22431</v>
      </c>
      <c r="G153" s="50">
        <v>-2887</v>
      </c>
      <c r="H153" s="50">
        <v>7270</v>
      </c>
      <c r="I153" s="50">
        <v>16244</v>
      </c>
      <c r="J153" s="50">
        <v>10141</v>
      </c>
      <c r="K153" s="50">
        <v>16972</v>
      </c>
      <c r="L153" s="259">
        <v>26543</v>
      </c>
      <c r="M153" s="50">
        <v>20314</v>
      </c>
      <c r="N153" s="50">
        <v>-63930</v>
      </c>
      <c r="O153" s="50">
        <v>16039</v>
      </c>
      <c r="P153" s="257">
        <v>-32857</v>
      </c>
      <c r="Q153" s="257">
        <v>1214</v>
      </c>
      <c r="R153" s="257">
        <v>11200.693020000006</v>
      </c>
      <c r="S153" s="234">
        <v>1875.5947400000005</v>
      </c>
      <c r="T153" s="234">
        <v>-2491</v>
      </c>
      <c r="U153" s="234">
        <v>8123</v>
      </c>
      <c r="V153" s="234">
        <v>4148</v>
      </c>
      <c r="W153" s="234">
        <v>54841</v>
      </c>
      <c r="X153" s="234">
        <v>45241</v>
      </c>
      <c r="Y153" s="234">
        <v>57664</v>
      </c>
      <c r="Z153" s="234">
        <v>82296</v>
      </c>
    </row>
    <row r="154" spans="2:26">
      <c r="B154" s="38" t="s">
        <v>308</v>
      </c>
      <c r="C154" s="50">
        <v>-26947</v>
      </c>
      <c r="D154" s="50">
        <v>35451</v>
      </c>
      <c r="E154" s="50">
        <v>4747</v>
      </c>
      <c r="F154" s="50">
        <v>-564</v>
      </c>
      <c r="G154" s="50">
        <v>-3244</v>
      </c>
      <c r="H154" s="50">
        <v>-6993</v>
      </c>
      <c r="I154" s="50">
        <v>-9562</v>
      </c>
      <c r="J154" s="50">
        <v>325</v>
      </c>
      <c r="K154" s="50">
        <v>589</v>
      </c>
      <c r="L154" s="259">
        <v>-1136</v>
      </c>
      <c r="M154" s="257">
        <v>-10187</v>
      </c>
      <c r="N154" s="50">
        <v>145268</v>
      </c>
      <c r="O154" s="50">
        <v>-13848</v>
      </c>
      <c r="P154" s="257">
        <v>-10641</v>
      </c>
      <c r="Q154" s="257">
        <v>-13717</v>
      </c>
      <c r="R154" s="257">
        <v>-11786</v>
      </c>
      <c r="S154" s="234">
        <v>-38996.287760000007</v>
      </c>
      <c r="T154" s="234">
        <v>-15245</v>
      </c>
      <c r="U154" s="234">
        <v>-21804</v>
      </c>
      <c r="V154" s="234">
        <v>-15737</v>
      </c>
      <c r="W154" s="234">
        <v>-20517</v>
      </c>
      <c r="X154" s="234">
        <v>-27628</v>
      </c>
      <c r="Y154" s="234">
        <v>-12921</v>
      </c>
      <c r="Z154" s="234">
        <v>-27145</v>
      </c>
    </row>
    <row r="155" spans="2:26">
      <c r="B155" s="223" t="s">
        <v>309</v>
      </c>
      <c r="C155" s="58">
        <f>SUM(C152:C154)</f>
        <v>315545</v>
      </c>
      <c r="D155" s="58">
        <f>SUM(D152:D154)</f>
        <v>954127</v>
      </c>
      <c r="E155" s="58">
        <f t="shared" ref="E155:P155" si="60">SUM(E152:E154)</f>
        <v>461456</v>
      </c>
      <c r="F155" s="58">
        <f t="shared" si="60"/>
        <v>468983.29085999983</v>
      </c>
      <c r="G155" s="58">
        <f t="shared" si="60"/>
        <v>285099.31224000017</v>
      </c>
      <c r="H155" s="58">
        <f t="shared" si="60"/>
        <v>347352</v>
      </c>
      <c r="I155" s="58">
        <f t="shared" si="60"/>
        <v>371142</v>
      </c>
      <c r="J155" s="58">
        <f t="shared" si="60"/>
        <v>338483</v>
      </c>
      <c r="K155" s="58">
        <f t="shared" si="60"/>
        <v>347349</v>
      </c>
      <c r="L155" s="445">
        <f t="shared" si="60"/>
        <v>432934</v>
      </c>
      <c r="M155" s="58">
        <f t="shared" si="60"/>
        <v>425741</v>
      </c>
      <c r="N155" s="58">
        <f t="shared" si="60"/>
        <v>1283269</v>
      </c>
      <c r="O155" s="58">
        <f t="shared" si="60"/>
        <v>493308</v>
      </c>
      <c r="P155" s="58">
        <f t="shared" si="60"/>
        <v>379240</v>
      </c>
      <c r="Q155" s="58">
        <f>SUM(Q152:Q154)</f>
        <v>444404</v>
      </c>
      <c r="R155" s="58">
        <f>SUM(R152:R154)</f>
        <v>354689.99999999994</v>
      </c>
      <c r="S155" s="498">
        <f t="shared" ref="S155:T155" si="61">SUM(S152:S154)</f>
        <v>264506.02501999994</v>
      </c>
      <c r="T155" s="498">
        <f t="shared" si="61"/>
        <v>94507</v>
      </c>
      <c r="U155" s="498">
        <v>160991</v>
      </c>
      <c r="V155" s="498">
        <v>107367</v>
      </c>
      <c r="W155" s="498">
        <v>508543</v>
      </c>
      <c r="X155" s="498">
        <f t="shared" ref="X155" si="62">SUM(X152:X154)</f>
        <v>362470</v>
      </c>
      <c r="Y155" s="498">
        <f t="shared" ref="Y155" si="63">SUM(Y152:Y154)</f>
        <v>395828</v>
      </c>
      <c r="Z155" s="498">
        <v>349267</v>
      </c>
    </row>
    <row r="156" spans="2:26">
      <c r="B156" s="38" t="s">
        <v>310</v>
      </c>
      <c r="C156" s="50">
        <f>SUM(C157:C158)</f>
        <v>-69738</v>
      </c>
      <c r="D156" s="50">
        <f>SUM(D157:D158)</f>
        <v>-318705</v>
      </c>
      <c r="E156" s="50">
        <f t="shared" ref="E156:Q156" si="64">SUM(E157:E158)</f>
        <v>-156193</v>
      </c>
      <c r="F156" s="50">
        <f t="shared" si="64"/>
        <v>-126633</v>
      </c>
      <c r="G156" s="50">
        <f t="shared" si="64"/>
        <v>-93561</v>
      </c>
      <c r="H156" s="50">
        <f t="shared" si="64"/>
        <v>103386</v>
      </c>
      <c r="I156" s="50">
        <f t="shared" si="64"/>
        <v>-137075</v>
      </c>
      <c r="J156" s="50">
        <f t="shared" si="64"/>
        <v>-98143</v>
      </c>
      <c r="K156" s="50">
        <f t="shared" si="64"/>
        <v>67263</v>
      </c>
      <c r="L156" s="259">
        <f t="shared" si="64"/>
        <v>-83303</v>
      </c>
      <c r="M156" s="257">
        <f t="shared" si="64"/>
        <v>-103852</v>
      </c>
      <c r="N156" s="50">
        <f t="shared" si="64"/>
        <v>-362502</v>
      </c>
      <c r="O156" s="50">
        <f t="shared" si="64"/>
        <v>-90608</v>
      </c>
      <c r="P156" s="50">
        <f t="shared" si="64"/>
        <v>-2956</v>
      </c>
      <c r="Q156" s="257">
        <f t="shared" si="64"/>
        <v>-134410</v>
      </c>
      <c r="R156" s="257">
        <v>-103181</v>
      </c>
      <c r="S156" s="234">
        <f t="shared" ref="S156:T156" si="65">SUM(S157:S158)</f>
        <v>-71206</v>
      </c>
      <c r="T156" s="234">
        <f t="shared" si="65"/>
        <v>47469</v>
      </c>
      <c r="U156" s="234">
        <v>-38365</v>
      </c>
      <c r="V156" s="234">
        <v>-23507</v>
      </c>
      <c r="W156" s="234">
        <v>-105749</v>
      </c>
      <c r="X156" s="234">
        <f t="shared" ref="X156" si="66">SUM(X157:X158)</f>
        <v>18998</v>
      </c>
      <c r="Y156" s="651">
        <f t="shared" ref="Y156" si="67">SUM(Y157:Y158)</f>
        <v>-83467</v>
      </c>
      <c r="Z156" s="651">
        <v>-75796</v>
      </c>
    </row>
    <row r="157" spans="2:26">
      <c r="B157" s="38" t="s">
        <v>228</v>
      </c>
      <c r="C157" s="50">
        <v>-79299</v>
      </c>
      <c r="D157" s="50">
        <v>-354491</v>
      </c>
      <c r="E157" s="50">
        <v>-176614</v>
      </c>
      <c r="F157" s="50">
        <v>-167891</v>
      </c>
      <c r="G157" s="50">
        <v>-152616</v>
      </c>
      <c r="H157" s="50">
        <v>89697</v>
      </c>
      <c r="I157" s="50">
        <v>-114844</v>
      </c>
      <c r="J157" s="50">
        <v>-132273</v>
      </c>
      <c r="K157" s="50">
        <v>4830</v>
      </c>
      <c r="L157" s="259">
        <v>-34509</v>
      </c>
      <c r="M157" s="257">
        <v>-77594</v>
      </c>
      <c r="N157" s="50">
        <v>-69687</v>
      </c>
      <c r="O157" s="50">
        <v>-234607</v>
      </c>
      <c r="P157" s="257">
        <v>-34067</v>
      </c>
      <c r="Q157" s="257">
        <v>-210719</v>
      </c>
      <c r="R157" s="257">
        <v>-141652</v>
      </c>
      <c r="S157" s="234">
        <v>-95938</v>
      </c>
      <c r="T157" s="234">
        <v>139392</v>
      </c>
      <c r="U157" s="234">
        <v>-39983</v>
      </c>
      <c r="V157" s="234">
        <v>-24828</v>
      </c>
      <c r="W157" s="234">
        <v>-147609</v>
      </c>
      <c r="X157" s="234">
        <v>97919</v>
      </c>
      <c r="Y157" s="234">
        <v>-113917</v>
      </c>
      <c r="Z157" s="234">
        <v>-111388</v>
      </c>
    </row>
    <row r="158" spans="2:26">
      <c r="B158" s="38" t="s">
        <v>229</v>
      </c>
      <c r="C158" s="50">
        <v>9561</v>
      </c>
      <c r="D158" s="50">
        <v>35786</v>
      </c>
      <c r="E158" s="50">
        <v>20421</v>
      </c>
      <c r="F158" s="50">
        <v>41258</v>
      </c>
      <c r="G158" s="50">
        <v>59055</v>
      </c>
      <c r="H158" s="50">
        <v>13689</v>
      </c>
      <c r="I158" s="50">
        <v>-22231</v>
      </c>
      <c r="J158" s="50">
        <v>34130</v>
      </c>
      <c r="K158" s="50">
        <v>62433</v>
      </c>
      <c r="L158" s="259">
        <v>-48794</v>
      </c>
      <c r="M158" s="257">
        <v>-26258</v>
      </c>
      <c r="N158" s="50">
        <v>-292815</v>
      </c>
      <c r="O158" s="50">
        <v>143999</v>
      </c>
      <c r="P158" s="257">
        <v>31111</v>
      </c>
      <c r="Q158" s="257">
        <v>76309</v>
      </c>
      <c r="R158" s="257">
        <v>38471</v>
      </c>
      <c r="S158" s="234">
        <v>24732</v>
      </c>
      <c r="T158" s="234">
        <v>-91923</v>
      </c>
      <c r="U158" s="234">
        <v>1618</v>
      </c>
      <c r="V158" s="234">
        <v>1321</v>
      </c>
      <c r="W158" s="234">
        <v>41860</v>
      </c>
      <c r="X158" s="234">
        <v>-78921</v>
      </c>
      <c r="Y158" s="234">
        <v>30450</v>
      </c>
      <c r="Z158" s="234">
        <v>35592</v>
      </c>
    </row>
    <row r="159" spans="2:26" ht="28.2">
      <c r="B159" s="232" t="s">
        <v>311</v>
      </c>
      <c r="C159" s="58">
        <f>SUM(C155:C156)</f>
        <v>245807</v>
      </c>
      <c r="D159" s="58">
        <f>SUM(D155:D156)</f>
        <v>635422</v>
      </c>
      <c r="E159" s="58">
        <f t="shared" ref="E159:R159" si="68">SUM(E155:E156)</f>
        <v>305263</v>
      </c>
      <c r="F159" s="58">
        <f t="shared" si="68"/>
        <v>342350.29085999983</v>
      </c>
      <c r="G159" s="58">
        <f t="shared" si="68"/>
        <v>191538.31224000017</v>
      </c>
      <c r="H159" s="58">
        <f t="shared" si="68"/>
        <v>450738</v>
      </c>
      <c r="I159" s="58">
        <f t="shared" si="68"/>
        <v>234067</v>
      </c>
      <c r="J159" s="58">
        <f t="shared" si="68"/>
        <v>240340</v>
      </c>
      <c r="K159" s="58">
        <f t="shared" si="68"/>
        <v>414612</v>
      </c>
      <c r="L159" s="445">
        <f t="shared" si="68"/>
        <v>349631</v>
      </c>
      <c r="M159" s="58">
        <f t="shared" si="68"/>
        <v>321889</v>
      </c>
      <c r="N159" s="58">
        <f t="shared" si="68"/>
        <v>920767</v>
      </c>
      <c r="O159" s="58">
        <f t="shared" si="68"/>
        <v>402700</v>
      </c>
      <c r="P159" s="58">
        <f t="shared" si="68"/>
        <v>376284</v>
      </c>
      <c r="Q159" s="58">
        <f t="shared" si="68"/>
        <v>309994</v>
      </c>
      <c r="R159" s="58">
        <f t="shared" si="68"/>
        <v>251508.99999999994</v>
      </c>
      <c r="S159" s="501">
        <v>193300.02501999994</v>
      </c>
      <c r="T159" s="501">
        <f t="shared" ref="T159" si="69">SUM(T155:T156)</f>
        <v>141976</v>
      </c>
      <c r="U159" s="501">
        <v>122626</v>
      </c>
      <c r="V159" s="501">
        <v>83860</v>
      </c>
      <c r="W159" s="501">
        <v>402794</v>
      </c>
      <c r="X159" s="501">
        <f>SUM(X155:X156)</f>
        <v>381468</v>
      </c>
      <c r="Y159" s="501">
        <f t="shared" ref="Y159" si="70">SUM(Y155:Y156)</f>
        <v>312361</v>
      </c>
      <c r="Z159" s="501">
        <v>273471</v>
      </c>
    </row>
    <row r="160" spans="2:26">
      <c r="B160" s="38" t="s">
        <v>312</v>
      </c>
      <c r="C160" s="50">
        <v>-17022</v>
      </c>
      <c r="D160" s="50">
        <v>-19947.994313528299</v>
      </c>
      <c r="E160" s="50">
        <v>-3460</v>
      </c>
      <c r="F160" s="50">
        <v>-3285</v>
      </c>
      <c r="G160" s="50">
        <v>-3419</v>
      </c>
      <c r="H160" s="50">
        <v>-3413</v>
      </c>
      <c r="I160" s="50">
        <v>-3879</v>
      </c>
      <c r="J160" s="50">
        <v>-4367</v>
      </c>
      <c r="K160" s="50">
        <v>-4342</v>
      </c>
      <c r="L160" s="259">
        <v>-4232</v>
      </c>
      <c r="M160" s="257">
        <v>-15497</v>
      </c>
      <c r="N160" s="50">
        <v>-1667</v>
      </c>
      <c r="O160" s="50">
        <v>-2143</v>
      </c>
      <c r="P160" s="257">
        <v>-1840</v>
      </c>
      <c r="Q160" s="257">
        <v>-1855</v>
      </c>
      <c r="R160" s="257">
        <v>-3411</v>
      </c>
      <c r="S160" s="234">
        <v>-5329</v>
      </c>
      <c r="T160" s="234">
        <v>-8614</v>
      </c>
      <c r="U160" s="234">
        <v>-10096</v>
      </c>
      <c r="V160" s="234">
        <v>-13471</v>
      </c>
      <c r="W160" s="234">
        <v>-16067</v>
      </c>
      <c r="X160" s="234">
        <v>-17912</v>
      </c>
      <c r="Y160" s="234">
        <v>-6341</v>
      </c>
      <c r="Z160" s="234">
        <v>-12269</v>
      </c>
    </row>
    <row r="161" spans="1:26">
      <c r="B161" s="223" t="s">
        <v>313</v>
      </c>
      <c r="C161" s="58">
        <f>SUM(C159:C160)</f>
        <v>228785</v>
      </c>
      <c r="D161" s="58">
        <f t="shared" ref="D161:T161" si="71">SUM(D159:D160)</f>
        <v>615474.0056864717</v>
      </c>
      <c r="E161" s="58">
        <f t="shared" si="71"/>
        <v>301803</v>
      </c>
      <c r="F161" s="58">
        <f t="shared" si="71"/>
        <v>339065.29085999983</v>
      </c>
      <c r="G161" s="58">
        <f t="shared" si="71"/>
        <v>188119.31224000017</v>
      </c>
      <c r="H161" s="58">
        <f t="shared" si="71"/>
        <v>447325</v>
      </c>
      <c r="I161" s="58">
        <f t="shared" si="71"/>
        <v>230188</v>
      </c>
      <c r="J161" s="58">
        <f t="shared" si="71"/>
        <v>235973</v>
      </c>
      <c r="K161" s="58">
        <f t="shared" si="71"/>
        <v>410270</v>
      </c>
      <c r="L161" s="445">
        <f t="shared" si="71"/>
        <v>345399</v>
      </c>
      <c r="M161" s="58">
        <f t="shared" si="71"/>
        <v>306392</v>
      </c>
      <c r="N161" s="58">
        <f t="shared" si="71"/>
        <v>919100</v>
      </c>
      <c r="O161" s="58">
        <f t="shared" si="71"/>
        <v>400557</v>
      </c>
      <c r="P161" s="58">
        <f t="shared" si="71"/>
        <v>374444</v>
      </c>
      <c r="Q161" s="58">
        <f t="shared" si="71"/>
        <v>308139</v>
      </c>
      <c r="R161" s="58">
        <f t="shared" si="71"/>
        <v>248097.99999999994</v>
      </c>
      <c r="S161" s="501">
        <f t="shared" si="71"/>
        <v>187971.02501999994</v>
      </c>
      <c r="T161" s="501">
        <f t="shared" si="71"/>
        <v>133362</v>
      </c>
      <c r="U161" s="501">
        <v>112530</v>
      </c>
      <c r="V161" s="501">
        <v>70389</v>
      </c>
      <c r="W161" s="501">
        <v>386727</v>
      </c>
      <c r="X161" s="501">
        <f t="shared" ref="X161:Y161" si="72">SUM(X159:X160)</f>
        <v>363556</v>
      </c>
      <c r="Y161" s="501">
        <f t="shared" si="72"/>
        <v>306020</v>
      </c>
      <c r="Z161" s="501">
        <v>261202</v>
      </c>
    </row>
    <row r="162" spans="1:26">
      <c r="B162" s="222"/>
      <c r="C162" s="224"/>
      <c r="D162" s="224"/>
      <c r="E162" s="224"/>
      <c r="F162" s="224"/>
      <c r="G162" s="224"/>
      <c r="H162" s="224"/>
      <c r="I162" s="224"/>
      <c r="J162" s="224"/>
      <c r="K162" s="224"/>
      <c r="L162" s="446"/>
      <c r="M162" s="224"/>
      <c r="N162" s="224"/>
      <c r="O162" s="224"/>
      <c r="P162" s="258"/>
      <c r="Q162" s="258"/>
      <c r="R162" s="258"/>
      <c r="S162" s="258"/>
    </row>
    <row r="163" spans="1:26">
      <c r="A163" s="36"/>
      <c r="B163" s="36"/>
      <c r="C163" s="36"/>
      <c r="D163" s="36"/>
      <c r="E163" s="36"/>
      <c r="F163" s="36"/>
      <c r="G163" s="36"/>
      <c r="H163" s="36"/>
      <c r="I163" s="36"/>
      <c r="J163" s="36"/>
      <c r="K163" s="36"/>
      <c r="L163" s="36"/>
      <c r="M163" s="36"/>
      <c r="N163" s="36"/>
      <c r="O163" s="36"/>
    </row>
    <row r="164" spans="1:26">
      <c r="L164" s="447"/>
      <c r="P164" s="263"/>
      <c r="Q164" s="263"/>
      <c r="R164" s="263"/>
      <c r="S164" s="263"/>
    </row>
    <row r="165" spans="1:26" ht="15">
      <c r="B165" s="11" t="s">
        <v>314</v>
      </c>
      <c r="L165" s="447"/>
      <c r="P165" s="263"/>
      <c r="Q165" s="263"/>
      <c r="R165" s="263"/>
      <c r="S165" s="263"/>
    </row>
    <row r="166" spans="1:26" ht="15">
      <c r="B166" s="13" t="s">
        <v>180</v>
      </c>
      <c r="L166" s="447"/>
      <c r="P166" s="263"/>
      <c r="Q166" s="263"/>
      <c r="R166" s="263"/>
      <c r="S166" s="263"/>
    </row>
    <row r="167" spans="1:26">
      <c r="L167" s="447"/>
      <c r="P167" s="263"/>
      <c r="Q167" s="263"/>
      <c r="R167" s="263"/>
      <c r="S167" s="263"/>
    </row>
    <row r="168" spans="1:26">
      <c r="B168" s="773" t="s">
        <v>315</v>
      </c>
      <c r="C168" s="774" t="s">
        <v>181</v>
      </c>
      <c r="D168" s="774"/>
      <c r="E168" s="774"/>
      <c r="F168" s="774"/>
      <c r="G168" s="774"/>
      <c r="H168" s="774"/>
      <c r="I168" s="774"/>
      <c r="J168" s="774"/>
      <c r="K168" s="774"/>
      <c r="L168" s="774"/>
      <c r="M168" s="774"/>
      <c r="N168" s="774"/>
      <c r="O168" s="774"/>
      <c r="P168" s="774"/>
      <c r="Q168" s="448"/>
      <c r="R168" s="448"/>
      <c r="S168" s="500"/>
      <c r="T168" s="500"/>
      <c r="U168" s="444"/>
      <c r="V168" s="444"/>
      <c r="W168" s="444"/>
      <c r="X168" s="500"/>
      <c r="Y168" s="500"/>
      <c r="Z168" s="500"/>
    </row>
    <row r="169" spans="1:26">
      <c r="B169" s="773"/>
      <c r="C169" s="221">
        <v>2016</v>
      </c>
      <c r="D169" s="49">
        <v>2017</v>
      </c>
      <c r="E169" s="49" t="s">
        <v>182</v>
      </c>
      <c r="F169" s="49" t="s">
        <v>183</v>
      </c>
      <c r="G169" s="49" t="s">
        <v>184</v>
      </c>
      <c r="H169" s="49" t="s">
        <v>185</v>
      </c>
      <c r="I169" s="49" t="s">
        <v>186</v>
      </c>
      <c r="J169" s="49" t="s">
        <v>187</v>
      </c>
      <c r="K169" s="49" t="s">
        <v>188</v>
      </c>
      <c r="L169" s="340" t="s">
        <v>189</v>
      </c>
      <c r="M169" s="49" t="s">
        <v>190</v>
      </c>
      <c r="N169" s="49" t="s">
        <v>191</v>
      </c>
      <c r="O169" s="49" t="s">
        <v>192</v>
      </c>
      <c r="P169" s="449" t="s">
        <v>193</v>
      </c>
      <c r="Q169" s="449" t="s">
        <v>194</v>
      </c>
      <c r="R169" s="449" t="s">
        <v>195</v>
      </c>
      <c r="S169" s="449" t="s">
        <v>196</v>
      </c>
      <c r="T169" s="449" t="s">
        <v>197</v>
      </c>
      <c r="U169" s="449" t="s">
        <v>198</v>
      </c>
      <c r="V169" s="449" t="s">
        <v>199</v>
      </c>
      <c r="W169" s="449" t="s">
        <v>200</v>
      </c>
      <c r="X169" s="449" t="s">
        <v>1153</v>
      </c>
      <c r="Y169" s="449" t="str">
        <f>+Y7</f>
        <v>1Q23</v>
      </c>
      <c r="Z169" s="449" t="s">
        <v>1208</v>
      </c>
    </row>
    <row r="170" spans="1:26">
      <c r="B170" s="229" t="s">
        <v>316</v>
      </c>
      <c r="C170" s="51"/>
      <c r="D170" s="51"/>
      <c r="E170" s="51"/>
      <c r="F170" s="229"/>
      <c r="G170" s="51"/>
      <c r="H170" s="51"/>
      <c r="I170" s="51"/>
      <c r="J170" s="51"/>
      <c r="K170" s="51"/>
      <c r="L170" s="451"/>
      <c r="M170" s="51"/>
      <c r="N170" s="51"/>
      <c r="O170" s="51"/>
      <c r="P170" s="261"/>
      <c r="Q170" s="261"/>
      <c r="R170" s="261"/>
      <c r="S170" s="261"/>
      <c r="T170" s="261"/>
      <c r="U170" s="261"/>
      <c r="V170" s="261"/>
      <c r="W170" s="261"/>
      <c r="X170" s="261"/>
      <c r="Y170" s="261"/>
      <c r="Z170" s="261"/>
    </row>
    <row r="171" spans="1:26">
      <c r="B171" s="38" t="s">
        <v>317</v>
      </c>
      <c r="C171" s="50">
        <v>4524</v>
      </c>
      <c r="D171" s="50">
        <v>6585</v>
      </c>
      <c r="E171" s="50">
        <v>11749</v>
      </c>
      <c r="F171" s="50">
        <v>7059</v>
      </c>
      <c r="G171" s="50">
        <v>12736</v>
      </c>
      <c r="H171" s="50">
        <v>16740</v>
      </c>
      <c r="I171" s="50">
        <v>17968</v>
      </c>
      <c r="J171" s="50">
        <v>14039</v>
      </c>
      <c r="K171" s="50">
        <v>7110</v>
      </c>
      <c r="L171" s="259">
        <v>595971</v>
      </c>
      <c r="M171" s="50">
        <v>757278</v>
      </c>
      <c r="N171" s="50">
        <v>1320153</v>
      </c>
      <c r="O171" s="50">
        <v>799542</v>
      </c>
      <c r="P171" s="257">
        <v>2067337</v>
      </c>
      <c r="Q171" s="257">
        <v>853688</v>
      </c>
      <c r="R171" s="257">
        <v>1090994</v>
      </c>
      <c r="S171" s="257">
        <v>231301</v>
      </c>
      <c r="T171" s="257">
        <v>282632</v>
      </c>
      <c r="U171" s="257">
        <v>316445</v>
      </c>
      <c r="V171" s="257">
        <v>220960</v>
      </c>
      <c r="W171" s="257">
        <v>168236</v>
      </c>
      <c r="X171" s="257">
        <v>336523</v>
      </c>
      <c r="Y171" s="257">
        <v>1485297</v>
      </c>
      <c r="Z171" s="257">
        <v>724877</v>
      </c>
    </row>
    <row r="172" spans="1:26">
      <c r="B172" s="38" t="s">
        <v>240</v>
      </c>
      <c r="C172" s="50">
        <v>336138</v>
      </c>
      <c r="D172" s="50">
        <v>610066</v>
      </c>
      <c r="E172" s="50">
        <v>716226</v>
      </c>
      <c r="F172" s="50">
        <v>843828</v>
      </c>
      <c r="G172" s="50">
        <v>1591227</v>
      </c>
      <c r="H172" s="50">
        <v>680909</v>
      </c>
      <c r="I172" s="50">
        <v>1087284</v>
      </c>
      <c r="J172" s="50">
        <v>1330308</v>
      </c>
      <c r="K172" s="50">
        <v>1197427</v>
      </c>
      <c r="L172" s="259">
        <v>2068611</v>
      </c>
      <c r="M172" s="50">
        <v>511984</v>
      </c>
      <c r="N172" s="50">
        <v>565480</v>
      </c>
      <c r="O172" s="50">
        <v>541218</v>
      </c>
      <c r="P172" s="257">
        <v>453557</v>
      </c>
      <c r="Q172" s="257">
        <v>469733</v>
      </c>
      <c r="R172" s="257">
        <v>724512</v>
      </c>
      <c r="S172" s="257">
        <v>976156</v>
      </c>
      <c r="T172" s="257">
        <v>813634</v>
      </c>
      <c r="U172" s="257">
        <v>882793</v>
      </c>
      <c r="V172" s="257">
        <v>861372</v>
      </c>
      <c r="W172" s="257">
        <v>1185524</v>
      </c>
      <c r="X172" s="257">
        <v>907326</v>
      </c>
      <c r="Y172" s="257">
        <v>322938</v>
      </c>
      <c r="Z172" s="257">
        <v>737115</v>
      </c>
    </row>
    <row r="173" spans="1:26">
      <c r="B173" s="38" t="s">
        <v>318</v>
      </c>
      <c r="C173" s="50">
        <v>83117</v>
      </c>
      <c r="D173" s="50">
        <v>287868</v>
      </c>
      <c r="E173" s="50">
        <v>230726.7178499999</v>
      </c>
      <c r="F173" s="50">
        <v>315405</v>
      </c>
      <c r="G173" s="50">
        <v>246775</v>
      </c>
      <c r="H173" s="50">
        <v>270923</v>
      </c>
      <c r="I173" s="50">
        <v>276793</v>
      </c>
      <c r="J173" s="50">
        <v>293727</v>
      </c>
      <c r="K173" s="50">
        <v>248303</v>
      </c>
      <c r="L173" s="259">
        <v>256674</v>
      </c>
      <c r="M173" s="50">
        <v>281522</v>
      </c>
      <c r="N173" s="50">
        <v>1181589</v>
      </c>
      <c r="O173" s="50">
        <v>632473</v>
      </c>
      <c r="P173" s="257">
        <v>658932</v>
      </c>
      <c r="Q173" s="257">
        <v>692135</v>
      </c>
      <c r="R173" s="257">
        <v>594163</v>
      </c>
      <c r="S173" s="257">
        <v>327586</v>
      </c>
      <c r="T173" s="257">
        <v>324875</v>
      </c>
      <c r="U173" s="257">
        <v>352894</v>
      </c>
      <c r="V173" s="257">
        <v>396609</v>
      </c>
      <c r="W173" s="257">
        <v>504431</v>
      </c>
      <c r="X173" s="257">
        <v>478085</v>
      </c>
      <c r="Y173" s="257">
        <v>447842</v>
      </c>
      <c r="Z173" s="257">
        <v>392566</v>
      </c>
    </row>
    <row r="174" spans="1:26">
      <c r="B174" s="38" t="s">
        <v>319</v>
      </c>
      <c r="C174" s="50">
        <v>16700</v>
      </c>
      <c r="D174" s="50">
        <v>18831</v>
      </c>
      <c r="E174" s="50">
        <v>17085</v>
      </c>
      <c r="F174" s="50">
        <v>16396</v>
      </c>
      <c r="G174" s="50">
        <v>16099</v>
      </c>
      <c r="H174" s="50">
        <v>20365</v>
      </c>
      <c r="I174" s="50">
        <v>18709</v>
      </c>
      <c r="J174" s="50">
        <v>15935</v>
      </c>
      <c r="K174" s="50">
        <v>15742</v>
      </c>
      <c r="L174" s="259">
        <v>14942</v>
      </c>
      <c r="M174" s="50">
        <v>15165</v>
      </c>
      <c r="N174" s="50">
        <v>14959</v>
      </c>
      <c r="O174" s="50">
        <v>17505</v>
      </c>
      <c r="P174" s="257">
        <v>22652</v>
      </c>
      <c r="Q174" s="257">
        <v>20707</v>
      </c>
      <c r="R174" s="257">
        <v>21090</v>
      </c>
      <c r="S174" s="257">
        <v>22097</v>
      </c>
      <c r="T174" s="257">
        <v>18767</v>
      </c>
      <c r="U174" s="257">
        <v>23287</v>
      </c>
      <c r="V174" s="257">
        <v>20401</v>
      </c>
      <c r="W174" s="257">
        <v>23850</v>
      </c>
      <c r="X174" s="257">
        <v>26889</v>
      </c>
      <c r="Y174" s="257">
        <v>27497</v>
      </c>
      <c r="Z174" s="257">
        <v>27086</v>
      </c>
    </row>
    <row r="175" spans="1:26">
      <c r="B175" s="38" t="s">
        <v>320</v>
      </c>
      <c r="C175" s="50">
        <v>0</v>
      </c>
      <c r="D175" s="50">
        <v>4307</v>
      </c>
      <c r="E175" s="50">
        <v>0</v>
      </c>
      <c r="F175" s="50">
        <v>0</v>
      </c>
      <c r="G175" s="50">
        <v>9512</v>
      </c>
      <c r="H175" s="50">
        <v>14879</v>
      </c>
      <c r="I175" s="50">
        <v>16631</v>
      </c>
      <c r="J175" s="50">
        <v>19974</v>
      </c>
      <c r="K175" s="50">
        <v>25639</v>
      </c>
      <c r="L175" s="259">
        <v>17452</v>
      </c>
      <c r="M175" s="50">
        <v>9681</v>
      </c>
      <c r="N175" s="50">
        <v>19543</v>
      </c>
      <c r="O175" s="50">
        <v>19717</v>
      </c>
      <c r="P175" s="257">
        <v>22259</v>
      </c>
      <c r="Q175" s="257">
        <v>19330</v>
      </c>
      <c r="R175" s="257">
        <v>20505</v>
      </c>
      <c r="S175" s="257">
        <v>35823</v>
      </c>
      <c r="T175" s="257">
        <v>45134</v>
      </c>
      <c r="U175" s="257">
        <v>49667</v>
      </c>
      <c r="V175" s="257">
        <v>49466</v>
      </c>
      <c r="W175" s="257">
        <v>52484</v>
      </c>
      <c r="X175" s="257">
        <v>42955</v>
      </c>
      <c r="Y175" s="257">
        <v>46311</v>
      </c>
      <c r="Z175" s="257">
        <v>0</v>
      </c>
    </row>
    <row r="176" spans="1:26">
      <c r="B176" s="38" t="s">
        <v>321</v>
      </c>
      <c r="C176" s="50">
        <v>17531</v>
      </c>
      <c r="D176" s="50">
        <v>14162</v>
      </c>
      <c r="E176" s="50">
        <v>132735</v>
      </c>
      <c r="F176" s="50">
        <v>216638</v>
      </c>
      <c r="G176" s="50">
        <v>314092</v>
      </c>
      <c r="H176" s="50">
        <v>29521</v>
      </c>
      <c r="I176" s="50">
        <v>84201</v>
      </c>
      <c r="J176" s="50">
        <v>169403</v>
      </c>
      <c r="K176" s="50">
        <v>215694</v>
      </c>
      <c r="L176" s="259">
        <v>32335</v>
      </c>
      <c r="M176" s="50">
        <v>43483</v>
      </c>
      <c r="N176" s="50">
        <v>84600</v>
      </c>
      <c r="O176" s="50">
        <v>210886</v>
      </c>
      <c r="P176" s="257">
        <v>28807</v>
      </c>
      <c r="Q176" s="257">
        <v>72195</v>
      </c>
      <c r="R176" s="257">
        <v>107737</v>
      </c>
      <c r="S176" s="257">
        <v>149273</v>
      </c>
      <c r="T176" s="257">
        <v>72150</v>
      </c>
      <c r="U176" s="257">
        <v>96648</v>
      </c>
      <c r="V176" s="257">
        <v>126437</v>
      </c>
      <c r="W176" s="257">
        <v>161365</v>
      </c>
      <c r="X176" s="257">
        <v>114235</v>
      </c>
      <c r="Y176" s="257">
        <v>138970</v>
      </c>
      <c r="Z176" s="257">
        <v>171914</v>
      </c>
    </row>
    <row r="177" spans="2:26">
      <c r="B177" s="38" t="s">
        <v>244</v>
      </c>
      <c r="C177" s="50">
        <v>0</v>
      </c>
      <c r="D177" s="50">
        <v>2611</v>
      </c>
      <c r="E177" s="50">
        <v>0</v>
      </c>
      <c r="F177" s="50">
        <v>0</v>
      </c>
      <c r="G177" s="50">
        <v>0</v>
      </c>
      <c r="H177" s="50">
        <v>0</v>
      </c>
      <c r="I177" s="50">
        <v>0</v>
      </c>
      <c r="J177" s="50">
        <v>0</v>
      </c>
      <c r="K177" s="50">
        <v>67372</v>
      </c>
      <c r="L177" s="259">
        <v>19202</v>
      </c>
      <c r="M177" s="50">
        <v>228664</v>
      </c>
      <c r="N177" s="50">
        <v>255557</v>
      </c>
      <c r="O177" s="50">
        <v>14138</v>
      </c>
      <c r="P177" s="257">
        <v>12368</v>
      </c>
      <c r="Q177" s="257">
        <v>7507</v>
      </c>
      <c r="R177" s="257">
        <v>2259</v>
      </c>
      <c r="S177" s="257">
        <v>0</v>
      </c>
      <c r="T177" s="257">
        <v>200</v>
      </c>
      <c r="U177" s="257">
        <v>0</v>
      </c>
      <c r="V177" s="257">
        <v>0</v>
      </c>
      <c r="W177" s="257">
        <v>0</v>
      </c>
      <c r="X177" s="257">
        <v>816</v>
      </c>
      <c r="Y177" s="257">
        <v>0</v>
      </c>
      <c r="Z177" s="257">
        <v>0</v>
      </c>
    </row>
    <row r="178" spans="2:26">
      <c r="B178" s="38" t="s">
        <v>272</v>
      </c>
      <c r="C178" s="50">
        <v>23518</v>
      </c>
      <c r="D178" s="50">
        <v>0</v>
      </c>
      <c r="E178" s="50">
        <v>0</v>
      </c>
      <c r="F178" s="50">
        <v>0</v>
      </c>
      <c r="G178" s="50">
        <v>0</v>
      </c>
      <c r="H178" s="50">
        <v>0</v>
      </c>
      <c r="I178" s="50">
        <v>0</v>
      </c>
      <c r="J178" s="50">
        <v>0</v>
      </c>
      <c r="K178" s="50">
        <v>0</v>
      </c>
      <c r="L178" s="257">
        <v>0</v>
      </c>
      <c r="M178" s="234">
        <v>0</v>
      </c>
      <c r="N178" s="234">
        <v>0</v>
      </c>
      <c r="O178" s="234">
        <v>0</v>
      </c>
      <c r="P178" s="257" t="s">
        <v>214</v>
      </c>
      <c r="Q178" s="257" t="s">
        <v>214</v>
      </c>
      <c r="R178" s="257" t="s">
        <v>214</v>
      </c>
      <c r="S178" s="257" t="s">
        <v>214</v>
      </c>
      <c r="T178" s="257">
        <v>0</v>
      </c>
      <c r="U178" s="257">
        <v>0</v>
      </c>
      <c r="V178" s="257">
        <v>0</v>
      </c>
      <c r="W178" s="257">
        <v>0</v>
      </c>
      <c r="X178" s="257">
        <v>0</v>
      </c>
      <c r="Y178" s="257">
        <v>0</v>
      </c>
      <c r="Z178" s="257">
        <v>0</v>
      </c>
    </row>
    <row r="179" spans="2:26">
      <c r="B179" s="38" t="s">
        <v>322</v>
      </c>
      <c r="C179" s="50">
        <v>18041</v>
      </c>
      <c r="D179" s="50">
        <v>902.90506000000005</v>
      </c>
      <c r="E179" s="50">
        <v>490.49568999999974</v>
      </c>
      <c r="F179" s="50">
        <v>825</v>
      </c>
      <c r="G179" s="50">
        <v>423</v>
      </c>
      <c r="H179" s="50">
        <v>323</v>
      </c>
      <c r="I179" s="50">
        <v>4276</v>
      </c>
      <c r="J179" s="50">
        <v>9056</v>
      </c>
      <c r="K179" s="50">
        <v>9265</v>
      </c>
      <c r="L179" s="259">
        <v>703</v>
      </c>
      <c r="M179" s="50">
        <v>917</v>
      </c>
      <c r="N179" s="50">
        <v>1013</v>
      </c>
      <c r="O179" s="50">
        <v>580</v>
      </c>
      <c r="P179" s="257">
        <v>5649</v>
      </c>
      <c r="Q179" s="257">
        <v>14771</v>
      </c>
      <c r="R179" s="257">
        <v>15206</v>
      </c>
      <c r="S179" s="257">
        <v>10966</v>
      </c>
      <c r="T179" s="257">
        <v>78913</v>
      </c>
      <c r="U179" s="257">
        <v>79038</v>
      </c>
      <c r="V179" s="257">
        <v>80325</v>
      </c>
      <c r="W179" s="257">
        <v>78676</v>
      </c>
      <c r="X179" s="257">
        <v>91373</v>
      </c>
      <c r="Y179" s="257">
        <v>89565</v>
      </c>
      <c r="Z179" s="257">
        <v>113868</v>
      </c>
    </row>
    <row r="180" spans="2:26">
      <c r="B180" s="38" t="s">
        <v>323</v>
      </c>
      <c r="C180" s="50">
        <v>10303</v>
      </c>
      <c r="D180" s="50">
        <v>4607</v>
      </c>
      <c r="E180" s="50">
        <v>40927</v>
      </c>
      <c r="F180" s="50">
        <v>22245</v>
      </c>
      <c r="G180" s="50">
        <v>13145</v>
      </c>
      <c r="H180" s="50">
        <v>8384</v>
      </c>
      <c r="I180" s="50">
        <v>34841</v>
      </c>
      <c r="J180" s="50">
        <v>24862</v>
      </c>
      <c r="K180" s="50">
        <v>14657</v>
      </c>
      <c r="L180" s="259">
        <v>4677</v>
      </c>
      <c r="M180" s="50">
        <v>33212</v>
      </c>
      <c r="N180" s="50">
        <v>24292</v>
      </c>
      <c r="O180" s="50">
        <v>15324</v>
      </c>
      <c r="P180" s="257">
        <v>6400</v>
      </c>
      <c r="Q180" s="257">
        <v>36595</v>
      </c>
      <c r="R180" s="257">
        <v>28473</v>
      </c>
      <c r="S180" s="257">
        <v>18009</v>
      </c>
      <c r="T180" s="257">
        <v>11619</v>
      </c>
      <c r="U180" s="257">
        <v>43747</v>
      </c>
      <c r="V180" s="257">
        <v>38208</v>
      </c>
      <c r="W180" s="257">
        <v>20223</v>
      </c>
      <c r="X180" s="257">
        <v>6907</v>
      </c>
      <c r="Y180" s="257">
        <v>43208</v>
      </c>
      <c r="Z180" s="257">
        <v>31172</v>
      </c>
    </row>
    <row r="181" spans="2:26">
      <c r="B181" s="38" t="s">
        <v>324</v>
      </c>
      <c r="C181" s="50">
        <v>0</v>
      </c>
      <c r="D181" s="50">
        <v>1141</v>
      </c>
      <c r="E181" s="50">
        <v>0</v>
      </c>
      <c r="F181" s="50">
        <v>0</v>
      </c>
      <c r="G181" s="50">
        <v>1211</v>
      </c>
      <c r="H181" s="50">
        <v>1787</v>
      </c>
      <c r="I181" s="50">
        <v>1814</v>
      </c>
      <c r="J181" s="50">
        <v>1833</v>
      </c>
      <c r="K181" s="50">
        <v>1862</v>
      </c>
      <c r="L181" s="259">
        <v>1876</v>
      </c>
      <c r="M181" s="50">
        <v>1887</v>
      </c>
      <c r="N181" s="50">
        <v>1894</v>
      </c>
      <c r="O181" s="50">
        <v>1892</v>
      </c>
      <c r="P181" s="257">
        <v>1808</v>
      </c>
      <c r="Q181" s="257">
        <v>3873</v>
      </c>
      <c r="R181" s="257">
        <v>3866</v>
      </c>
      <c r="S181" s="257">
        <v>3931</v>
      </c>
      <c r="T181" s="257">
        <v>3952</v>
      </c>
      <c r="U181" s="257">
        <v>4017</v>
      </c>
      <c r="V181" s="257">
        <v>4977</v>
      </c>
      <c r="W181" s="257">
        <v>2715</v>
      </c>
      <c r="X181" s="257">
        <v>2126</v>
      </c>
      <c r="Y181" s="257">
        <v>6199</v>
      </c>
      <c r="Z181" s="257">
        <v>6352</v>
      </c>
    </row>
    <row r="182" spans="2:26">
      <c r="B182" s="38" t="s">
        <v>249</v>
      </c>
      <c r="C182" s="50">
        <v>49486</v>
      </c>
      <c r="D182" s="50">
        <v>42433</v>
      </c>
      <c r="E182" s="50">
        <v>66666</v>
      </c>
      <c r="F182" s="50">
        <v>83296</v>
      </c>
      <c r="G182" s="50">
        <v>41921</v>
      </c>
      <c r="H182" s="50">
        <v>48818</v>
      </c>
      <c r="I182" s="50">
        <v>43681</v>
      </c>
      <c r="J182" s="50">
        <v>41017</v>
      </c>
      <c r="K182" s="50">
        <v>36844</v>
      </c>
      <c r="L182" s="259">
        <v>41133</v>
      </c>
      <c r="M182" s="50">
        <v>39483</v>
      </c>
      <c r="N182" s="50">
        <v>76935</v>
      </c>
      <c r="O182" s="50">
        <v>71323</v>
      </c>
      <c r="P182" s="257">
        <v>69415</v>
      </c>
      <c r="Q182" s="257">
        <v>56067</v>
      </c>
      <c r="R182" s="257">
        <v>72492</v>
      </c>
      <c r="S182" s="257">
        <v>65642</v>
      </c>
      <c r="T182" s="257">
        <v>59975</v>
      </c>
      <c r="U182" s="257">
        <v>54712</v>
      </c>
      <c r="V182" s="257">
        <v>72671</v>
      </c>
      <c r="W182" s="257">
        <v>93362</v>
      </c>
      <c r="X182" s="257">
        <v>59746</v>
      </c>
      <c r="Y182" s="257">
        <v>81920</v>
      </c>
      <c r="Z182" s="257">
        <v>116468</v>
      </c>
    </row>
    <row r="183" spans="2:26">
      <c r="B183" s="227"/>
      <c r="C183" s="52">
        <f t="shared" ref="C183:T183" si="73">SUM(C171:C182)</f>
        <v>559358</v>
      </c>
      <c r="D183" s="52">
        <f t="shared" si="73"/>
        <v>993513.90506000002</v>
      </c>
      <c r="E183" s="52">
        <f t="shared" si="73"/>
        <v>1216605.2135399999</v>
      </c>
      <c r="F183" s="52">
        <f t="shared" si="73"/>
        <v>1505692</v>
      </c>
      <c r="G183" s="52">
        <f t="shared" si="73"/>
        <v>2247141</v>
      </c>
      <c r="H183" s="52">
        <f t="shared" si="73"/>
        <v>1092649</v>
      </c>
      <c r="I183" s="52">
        <f t="shared" si="73"/>
        <v>1586198</v>
      </c>
      <c r="J183" s="52">
        <f t="shared" si="73"/>
        <v>1920154</v>
      </c>
      <c r="K183" s="52">
        <f t="shared" si="73"/>
        <v>1839915</v>
      </c>
      <c r="L183" s="228">
        <f t="shared" si="73"/>
        <v>3053576</v>
      </c>
      <c r="M183" s="52">
        <f t="shared" si="73"/>
        <v>1923276</v>
      </c>
      <c r="N183" s="52">
        <f t="shared" si="73"/>
        <v>3546015</v>
      </c>
      <c r="O183" s="52">
        <f t="shared" si="73"/>
        <v>2324598</v>
      </c>
      <c r="P183" s="260">
        <f t="shared" si="73"/>
        <v>3349184</v>
      </c>
      <c r="Q183" s="260">
        <f t="shared" si="73"/>
        <v>2246601</v>
      </c>
      <c r="R183" s="260">
        <f t="shared" si="73"/>
        <v>2681297</v>
      </c>
      <c r="S183" s="260">
        <f t="shared" si="73"/>
        <v>1840784</v>
      </c>
      <c r="T183" s="260">
        <f t="shared" si="73"/>
        <v>1711851</v>
      </c>
      <c r="U183" s="260">
        <v>1903248</v>
      </c>
      <c r="V183" s="260">
        <v>1871426</v>
      </c>
      <c r="W183" s="260">
        <v>2290866</v>
      </c>
      <c r="X183" s="260">
        <f t="shared" ref="X183" si="74">SUM(X171:X182)</f>
        <v>2066981</v>
      </c>
      <c r="Y183" s="260">
        <f t="shared" ref="Y183" si="75">SUM(Y171:Y182)</f>
        <v>2689747</v>
      </c>
      <c r="Z183" s="735">
        <v>2321418</v>
      </c>
    </row>
    <row r="184" spans="2:26">
      <c r="B184" s="229" t="s">
        <v>325</v>
      </c>
      <c r="C184" s="51"/>
      <c r="D184" s="51"/>
      <c r="E184" s="51"/>
      <c r="F184" s="229"/>
      <c r="G184" s="51"/>
      <c r="H184" s="51"/>
      <c r="I184" s="51"/>
      <c r="J184" s="51"/>
      <c r="K184" s="51"/>
      <c r="L184" s="451"/>
      <c r="M184" s="51"/>
      <c r="N184" s="51"/>
      <c r="O184" s="51"/>
      <c r="P184" s="261"/>
      <c r="Q184" s="261"/>
      <c r="R184" s="261"/>
      <c r="S184" s="261"/>
      <c r="T184" s="261"/>
      <c r="U184" s="261"/>
      <c r="V184" s="261"/>
      <c r="W184" s="261"/>
      <c r="X184" s="261"/>
      <c r="Y184" s="261"/>
      <c r="Z184" s="261"/>
    </row>
    <row r="185" spans="2:26">
      <c r="B185" s="233" t="s">
        <v>326</v>
      </c>
      <c r="C185" s="53"/>
      <c r="D185" s="53"/>
      <c r="E185" s="53"/>
      <c r="F185" s="53"/>
      <c r="G185" s="53"/>
      <c r="H185" s="53"/>
      <c r="I185" s="53"/>
      <c r="J185" s="53"/>
      <c r="K185" s="53"/>
      <c r="L185" s="456"/>
      <c r="M185" s="53"/>
      <c r="N185" s="53"/>
      <c r="O185" s="53"/>
      <c r="P185" s="264"/>
      <c r="Q185" s="264"/>
      <c r="R185" s="264"/>
      <c r="S185" s="264"/>
      <c r="T185" s="264"/>
      <c r="X185" s="264"/>
    </row>
    <row r="186" spans="2:26">
      <c r="B186" s="38" t="s">
        <v>324</v>
      </c>
      <c r="C186" s="50">
        <v>0</v>
      </c>
      <c r="D186" s="50">
        <v>35674</v>
      </c>
      <c r="E186" s="50">
        <v>0</v>
      </c>
      <c r="F186" s="50">
        <v>0</v>
      </c>
      <c r="G186" s="50">
        <v>43818</v>
      </c>
      <c r="H186" s="50">
        <v>42268</v>
      </c>
      <c r="I186" s="50">
        <v>44888</v>
      </c>
      <c r="J186" s="50">
        <v>47771</v>
      </c>
      <c r="K186" s="50">
        <v>47245</v>
      </c>
      <c r="L186" s="259">
        <v>46515</v>
      </c>
      <c r="M186" s="50">
        <v>46649</v>
      </c>
      <c r="N186" s="50">
        <v>46926</v>
      </c>
      <c r="O186" s="50">
        <v>46981</v>
      </c>
      <c r="P186" s="257">
        <v>46903</v>
      </c>
      <c r="Q186" s="257">
        <v>40249</v>
      </c>
      <c r="R186" s="257">
        <v>37057</v>
      </c>
      <c r="S186" s="257">
        <v>38409</v>
      </c>
      <c r="T186" s="257">
        <v>38968</v>
      </c>
      <c r="U186" s="257">
        <v>39521</v>
      </c>
      <c r="V186" s="257">
        <v>38263</v>
      </c>
      <c r="W186" s="257">
        <v>36716</v>
      </c>
      <c r="X186" s="257">
        <v>32173</v>
      </c>
      <c r="Y186" s="257">
        <v>19446</v>
      </c>
      <c r="Z186" s="257">
        <v>17853</v>
      </c>
    </row>
    <row r="187" spans="2:26">
      <c r="B187" s="38" t="s">
        <v>318</v>
      </c>
      <c r="C187" s="50">
        <v>9117</v>
      </c>
      <c r="D187" s="50">
        <v>20329</v>
      </c>
      <c r="E187" s="50">
        <v>14973.786459999159</v>
      </c>
      <c r="F187" s="50">
        <v>20664</v>
      </c>
      <c r="G187" s="50">
        <v>9769</v>
      </c>
      <c r="H187" s="50">
        <v>10575</v>
      </c>
      <c r="I187" s="50">
        <v>10666</v>
      </c>
      <c r="J187" s="50">
        <v>10594</v>
      </c>
      <c r="K187" s="50">
        <v>10663</v>
      </c>
      <c r="L187" s="259">
        <v>10679</v>
      </c>
      <c r="M187" s="50">
        <v>10700</v>
      </c>
      <c r="N187" s="50">
        <v>10726</v>
      </c>
      <c r="O187" s="50">
        <v>578837</v>
      </c>
      <c r="P187" s="257">
        <v>498309</v>
      </c>
      <c r="Q187" s="257">
        <v>417349</v>
      </c>
      <c r="R187" s="257">
        <v>336573</v>
      </c>
      <c r="S187" s="257">
        <v>551165</v>
      </c>
      <c r="T187" s="257">
        <v>524184</v>
      </c>
      <c r="U187" s="257">
        <v>497288</v>
      </c>
      <c r="V187" s="257">
        <v>1187261</v>
      </c>
      <c r="W187" s="257">
        <v>450585</v>
      </c>
      <c r="X187" s="257">
        <v>426197</v>
      </c>
      <c r="Y187" s="257">
        <v>402740</v>
      </c>
      <c r="Z187" s="257">
        <v>379553</v>
      </c>
    </row>
    <row r="188" spans="2:26">
      <c r="B188" s="38" t="s">
        <v>327</v>
      </c>
      <c r="C188" s="50">
        <v>1150358</v>
      </c>
      <c r="D188" s="50">
        <v>1312791</v>
      </c>
      <c r="E188" s="50">
        <v>1363119</v>
      </c>
      <c r="F188" s="50">
        <v>1409142</v>
      </c>
      <c r="G188" s="50">
        <v>1425474</v>
      </c>
      <c r="H188" s="50">
        <v>1426083</v>
      </c>
      <c r="I188" s="50">
        <v>1426613</v>
      </c>
      <c r="J188" s="50">
        <v>1473391</v>
      </c>
      <c r="K188" s="50">
        <v>1518151</v>
      </c>
      <c r="L188" s="259">
        <v>1576332</v>
      </c>
      <c r="M188" s="50">
        <v>1620971</v>
      </c>
      <c r="N188" s="50">
        <v>1668555</v>
      </c>
      <c r="O188" s="50">
        <v>1724394</v>
      </c>
      <c r="P188" s="257">
        <v>1778999</v>
      </c>
      <c r="Q188" s="257">
        <v>1821503</v>
      </c>
      <c r="R188" s="257">
        <v>1868048</v>
      </c>
      <c r="S188" s="257">
        <v>1911094</v>
      </c>
      <c r="T188" s="257">
        <v>1967747</v>
      </c>
      <c r="U188" s="257">
        <v>2013021</v>
      </c>
      <c r="V188" s="257">
        <v>2065840</v>
      </c>
      <c r="W188" s="257">
        <v>2111534</v>
      </c>
      <c r="X188" s="257">
        <v>2175500</v>
      </c>
      <c r="Y188" s="257">
        <v>2219384</v>
      </c>
      <c r="Z188" s="257">
        <v>2260631</v>
      </c>
    </row>
    <row r="189" spans="2:26">
      <c r="B189" s="38" t="s">
        <v>328</v>
      </c>
      <c r="C189" s="50">
        <v>229085</v>
      </c>
      <c r="D189" s="50" t="s">
        <v>214</v>
      </c>
      <c r="E189" s="50" t="s">
        <v>214</v>
      </c>
      <c r="F189" s="50" t="s">
        <v>214</v>
      </c>
      <c r="G189" s="50" t="s">
        <v>214</v>
      </c>
      <c r="H189" s="50" t="s">
        <v>214</v>
      </c>
      <c r="I189" s="50" t="s">
        <v>214</v>
      </c>
      <c r="J189" s="50" t="s">
        <v>214</v>
      </c>
      <c r="K189" s="234" t="s">
        <v>214</v>
      </c>
      <c r="L189" s="259">
        <v>242</v>
      </c>
      <c r="M189" s="234" t="s">
        <v>214</v>
      </c>
      <c r="N189" s="234" t="s">
        <v>214</v>
      </c>
      <c r="O189" s="50">
        <v>0</v>
      </c>
      <c r="P189" s="257" t="s">
        <v>214</v>
      </c>
      <c r="Q189" s="257" t="s">
        <v>214</v>
      </c>
      <c r="R189" s="257">
        <v>2436</v>
      </c>
      <c r="S189" s="257">
        <v>1117</v>
      </c>
      <c r="T189" s="257">
        <v>0</v>
      </c>
      <c r="U189" s="257">
        <v>286</v>
      </c>
      <c r="V189" s="257">
        <v>49</v>
      </c>
      <c r="W189" s="257">
        <v>59</v>
      </c>
      <c r="X189" s="257">
        <v>127</v>
      </c>
      <c r="Y189" s="257">
        <v>307</v>
      </c>
      <c r="Z189" s="257">
        <v>717</v>
      </c>
    </row>
    <row r="190" spans="2:26">
      <c r="B190" s="38" t="s">
        <v>272</v>
      </c>
      <c r="C190" s="50">
        <v>0</v>
      </c>
      <c r="D190" s="50">
        <v>0</v>
      </c>
      <c r="E190" s="50">
        <v>0</v>
      </c>
      <c r="F190" s="50">
        <v>0</v>
      </c>
      <c r="G190" s="50">
        <v>0</v>
      </c>
      <c r="H190" s="50">
        <v>0</v>
      </c>
      <c r="I190" s="50">
        <v>76</v>
      </c>
      <c r="J190" s="50">
        <v>329</v>
      </c>
      <c r="K190" s="50">
        <v>2226</v>
      </c>
      <c r="L190" s="263" t="s">
        <v>214</v>
      </c>
      <c r="M190" s="50">
        <v>0</v>
      </c>
      <c r="N190" s="50">
        <v>0</v>
      </c>
      <c r="O190" s="50">
        <v>0</v>
      </c>
      <c r="P190" s="257" t="s">
        <v>214</v>
      </c>
      <c r="Q190" s="257">
        <v>41074</v>
      </c>
      <c r="R190" s="257" t="s">
        <v>214</v>
      </c>
      <c r="S190" s="257" t="s">
        <v>214</v>
      </c>
      <c r="T190" s="257">
        <v>0</v>
      </c>
      <c r="U190" s="257">
        <v>0</v>
      </c>
      <c r="V190" s="257">
        <v>0</v>
      </c>
      <c r="W190" s="257">
        <v>0</v>
      </c>
      <c r="X190" s="257">
        <v>0</v>
      </c>
      <c r="Y190" s="257">
        <v>0</v>
      </c>
      <c r="Z190" s="257">
        <v>0</v>
      </c>
    </row>
    <row r="191" spans="2:26">
      <c r="B191" s="38" t="s">
        <v>256</v>
      </c>
      <c r="C191" s="50">
        <v>70175</v>
      </c>
      <c r="D191" s="50">
        <v>66414</v>
      </c>
      <c r="E191" s="50">
        <v>66571</v>
      </c>
      <c r="F191" s="50">
        <v>65070</v>
      </c>
      <c r="G191" s="50">
        <v>66816</v>
      </c>
      <c r="H191" s="50">
        <v>66987</v>
      </c>
      <c r="I191" s="50">
        <v>64874</v>
      </c>
      <c r="J191" s="50">
        <v>64007</v>
      </c>
      <c r="K191" s="50">
        <v>58867</v>
      </c>
      <c r="L191" s="259">
        <v>52886</v>
      </c>
      <c r="M191" s="50">
        <v>51597</v>
      </c>
      <c r="N191" s="50">
        <v>49133</v>
      </c>
      <c r="O191" s="50">
        <v>41575</v>
      </c>
      <c r="P191" s="257">
        <v>44119</v>
      </c>
      <c r="Q191" s="257">
        <v>47184</v>
      </c>
      <c r="R191" s="257">
        <v>45671</v>
      </c>
      <c r="S191" s="257">
        <v>45631</v>
      </c>
      <c r="T191" s="257">
        <v>46011</v>
      </c>
      <c r="U191" s="257">
        <v>46437</v>
      </c>
      <c r="V191" s="257">
        <v>43797</v>
      </c>
      <c r="W191" s="257">
        <v>42677</v>
      </c>
      <c r="X191" s="257">
        <v>41298</v>
      </c>
      <c r="Y191" s="257">
        <v>41756</v>
      </c>
      <c r="Z191" s="257">
        <v>41981</v>
      </c>
    </row>
    <row r="192" spans="2:26">
      <c r="B192" s="38" t="s">
        <v>257</v>
      </c>
      <c r="C192" s="50">
        <v>0</v>
      </c>
      <c r="D192" s="50">
        <v>0</v>
      </c>
      <c r="E192" s="50">
        <v>0</v>
      </c>
      <c r="F192" s="50">
        <v>0</v>
      </c>
      <c r="G192" s="50">
        <v>0</v>
      </c>
      <c r="H192" s="50">
        <v>105444</v>
      </c>
      <c r="I192" s="50">
        <v>105444</v>
      </c>
      <c r="J192" s="50">
        <v>105444</v>
      </c>
      <c r="K192" s="50">
        <v>105444</v>
      </c>
      <c r="L192" s="259">
        <v>43024</v>
      </c>
      <c r="M192" s="50">
        <v>43024</v>
      </c>
      <c r="N192" s="50">
        <v>43024</v>
      </c>
      <c r="O192" s="50">
        <v>43024</v>
      </c>
      <c r="P192" s="257">
        <v>0</v>
      </c>
      <c r="Q192" s="257">
        <v>0</v>
      </c>
      <c r="R192" s="257">
        <v>0</v>
      </c>
      <c r="S192" s="257">
        <v>0</v>
      </c>
      <c r="T192" s="257">
        <v>0</v>
      </c>
      <c r="U192" s="257">
        <v>0</v>
      </c>
      <c r="V192" s="257">
        <v>0</v>
      </c>
      <c r="W192" s="257">
        <v>0</v>
      </c>
      <c r="X192" s="257">
        <v>0</v>
      </c>
      <c r="Y192" s="257">
        <v>0</v>
      </c>
      <c r="Z192" s="257">
        <v>0</v>
      </c>
    </row>
    <row r="193" spans="2:26">
      <c r="B193" s="38" t="s">
        <v>244</v>
      </c>
      <c r="C193" s="50">
        <v>0</v>
      </c>
      <c r="D193" s="50">
        <v>0</v>
      </c>
      <c r="E193" s="50">
        <v>0</v>
      </c>
      <c r="F193" s="50">
        <v>11861</v>
      </c>
      <c r="G193" s="50">
        <v>11861</v>
      </c>
      <c r="H193" s="50">
        <v>2643</v>
      </c>
      <c r="I193" s="50">
        <v>10771</v>
      </c>
      <c r="J193" s="50">
        <v>0</v>
      </c>
      <c r="K193" s="50">
        <v>1962</v>
      </c>
      <c r="L193" s="259">
        <v>0</v>
      </c>
      <c r="M193" s="50">
        <v>3068</v>
      </c>
      <c r="N193" s="50">
        <v>3546</v>
      </c>
      <c r="O193" s="50">
        <v>4056</v>
      </c>
      <c r="P193" s="257">
        <v>226</v>
      </c>
      <c r="Q193" s="257">
        <v>18417</v>
      </c>
      <c r="R193" s="257">
        <v>403</v>
      </c>
      <c r="S193" s="257">
        <v>14360</v>
      </c>
      <c r="T193" s="257">
        <v>18250</v>
      </c>
      <c r="U193" s="257">
        <v>0</v>
      </c>
      <c r="V193" s="257">
        <v>2008</v>
      </c>
      <c r="W193" s="257">
        <v>0</v>
      </c>
      <c r="X193" s="257">
        <v>0</v>
      </c>
      <c r="Y193" s="257">
        <v>0</v>
      </c>
      <c r="Z193" s="257">
        <v>0</v>
      </c>
    </row>
    <row r="194" spans="2:26">
      <c r="B194" s="38" t="s">
        <v>329</v>
      </c>
      <c r="C194" s="50">
        <v>0</v>
      </c>
      <c r="D194" s="50">
        <v>0</v>
      </c>
      <c r="E194" s="50">
        <v>0</v>
      </c>
      <c r="F194" s="50">
        <v>0</v>
      </c>
      <c r="G194" s="50">
        <v>0</v>
      </c>
      <c r="H194" s="50">
        <v>0</v>
      </c>
      <c r="I194" s="50">
        <v>0</v>
      </c>
      <c r="J194" s="50">
        <v>0</v>
      </c>
      <c r="K194" s="50">
        <v>0</v>
      </c>
      <c r="L194" s="259">
        <v>0</v>
      </c>
      <c r="M194" s="50">
        <v>12226</v>
      </c>
      <c r="N194" s="50">
        <v>5472</v>
      </c>
      <c r="O194" s="50">
        <v>5080</v>
      </c>
      <c r="P194" s="257">
        <v>7538</v>
      </c>
      <c r="Q194" s="257">
        <v>11984</v>
      </c>
      <c r="R194" s="257">
        <v>16245</v>
      </c>
      <c r="S194" s="257">
        <v>7006</v>
      </c>
      <c r="T194" s="257">
        <v>4738</v>
      </c>
      <c r="U194" s="257">
        <v>2038</v>
      </c>
      <c r="V194" s="257">
        <v>0</v>
      </c>
      <c r="W194" s="257">
        <v>0</v>
      </c>
      <c r="X194" s="257">
        <v>0</v>
      </c>
      <c r="Y194" s="257">
        <v>917</v>
      </c>
      <c r="Z194" s="257">
        <v>0</v>
      </c>
    </row>
    <row r="195" spans="2:26" ht="14.1" customHeight="1">
      <c r="B195" s="38" t="s">
        <v>249</v>
      </c>
      <c r="C195" s="50">
        <v>13572</v>
      </c>
      <c r="D195" s="50">
        <v>1000</v>
      </c>
      <c r="E195" s="50">
        <v>43228</v>
      </c>
      <c r="F195" s="50">
        <v>54956</v>
      </c>
      <c r="G195" s="50">
        <v>12490</v>
      </c>
      <c r="H195" s="50">
        <v>1476</v>
      </c>
      <c r="I195" s="50">
        <v>1467</v>
      </c>
      <c r="J195" s="50">
        <v>1458</v>
      </c>
      <c r="K195" s="50">
        <v>1449</v>
      </c>
      <c r="L195" s="259">
        <v>12693</v>
      </c>
      <c r="M195" s="50">
        <v>13700</v>
      </c>
      <c r="N195" s="50">
        <v>103428</v>
      </c>
      <c r="O195" s="50">
        <v>103825</v>
      </c>
      <c r="P195" s="257">
        <v>102772</v>
      </c>
      <c r="Q195" s="257">
        <v>102146</v>
      </c>
      <c r="R195" s="257">
        <v>102557</v>
      </c>
      <c r="S195" s="257">
        <v>102642</v>
      </c>
      <c r="T195" s="257">
        <v>102250</v>
      </c>
      <c r="U195" s="257">
        <v>88025</v>
      </c>
      <c r="V195" s="257">
        <v>61751</v>
      </c>
      <c r="W195" s="257">
        <v>61742</v>
      </c>
      <c r="X195" s="257">
        <v>70433</v>
      </c>
      <c r="Y195" s="257">
        <v>68244</v>
      </c>
      <c r="Z195" s="257">
        <v>62303</v>
      </c>
    </row>
    <row r="196" spans="2:26">
      <c r="B196" s="227" t="s">
        <v>330</v>
      </c>
      <c r="C196" s="52">
        <f t="shared" ref="C196:N196" si="76">SUM(C186:C195)</f>
        <v>1472307</v>
      </c>
      <c r="D196" s="52">
        <f t="shared" si="76"/>
        <v>1436208</v>
      </c>
      <c r="E196" s="52">
        <f t="shared" si="76"/>
        <v>1487891.7864599992</v>
      </c>
      <c r="F196" s="52">
        <f t="shared" si="76"/>
        <v>1561693</v>
      </c>
      <c r="G196" s="52">
        <f t="shared" si="76"/>
        <v>1570228</v>
      </c>
      <c r="H196" s="52">
        <f t="shared" si="76"/>
        <v>1655476</v>
      </c>
      <c r="I196" s="52">
        <f t="shared" si="76"/>
        <v>1664799</v>
      </c>
      <c r="J196" s="52">
        <f t="shared" si="76"/>
        <v>1702994</v>
      </c>
      <c r="K196" s="52">
        <f t="shared" si="76"/>
        <v>1746007</v>
      </c>
      <c r="L196" s="228">
        <f t="shared" si="76"/>
        <v>1742371</v>
      </c>
      <c r="M196" s="52">
        <f t="shared" si="76"/>
        <v>1801935</v>
      </c>
      <c r="N196" s="52">
        <f t="shared" si="76"/>
        <v>1930810</v>
      </c>
      <c r="O196" s="52">
        <f>SUM(O186:O195)</f>
        <v>2547772</v>
      </c>
      <c r="P196" s="260">
        <f>SUM(P186:P195)</f>
        <v>2478866</v>
      </c>
      <c r="Q196" s="260">
        <f>SUM(Q186:Q195)</f>
        <v>2499906</v>
      </c>
      <c r="R196" s="260">
        <f>SUM(R186:R195)</f>
        <v>2408990</v>
      </c>
      <c r="S196" s="260">
        <f t="shared" ref="S196:T196" si="77">SUM(S186:S195)</f>
        <v>2671424</v>
      </c>
      <c r="T196" s="260">
        <f t="shared" si="77"/>
        <v>2702148</v>
      </c>
      <c r="U196" s="260">
        <v>2686616</v>
      </c>
      <c r="V196" s="260">
        <v>3398969</v>
      </c>
      <c r="W196" s="260">
        <v>2703313</v>
      </c>
      <c r="X196" s="260">
        <f t="shared" ref="X196" si="78">SUM(X186:X195)</f>
        <v>2745728</v>
      </c>
      <c r="Y196" s="260">
        <f t="shared" ref="Y196" si="79">SUM(Y186:Y195)</f>
        <v>2752794</v>
      </c>
      <c r="Z196" s="735">
        <v>2763038</v>
      </c>
    </row>
    <row r="197" spans="2:26">
      <c r="B197" s="38" t="s">
        <v>258</v>
      </c>
      <c r="C197" s="50">
        <v>1203699</v>
      </c>
      <c r="D197" s="50">
        <v>1185326</v>
      </c>
      <c r="E197" s="50">
        <v>1218871</v>
      </c>
      <c r="F197" s="50">
        <v>1242101</v>
      </c>
      <c r="G197" s="50">
        <v>1141153</v>
      </c>
      <c r="H197" s="50">
        <v>1150275</v>
      </c>
      <c r="I197" s="50">
        <v>1202280</v>
      </c>
      <c r="J197" s="50">
        <v>1213126</v>
      </c>
      <c r="K197" s="50">
        <v>1253850</v>
      </c>
      <c r="L197" s="259">
        <v>1390300</v>
      </c>
      <c r="M197" s="50">
        <v>1510113</v>
      </c>
      <c r="N197" s="50">
        <v>1515680</v>
      </c>
      <c r="O197" s="50">
        <v>1549139</v>
      </c>
      <c r="P197" s="257">
        <v>1517335</v>
      </c>
      <c r="Q197" s="257">
        <v>1537544</v>
      </c>
      <c r="R197" s="257">
        <v>1549745</v>
      </c>
      <c r="S197" s="257">
        <v>1568124</v>
      </c>
      <c r="T197" s="257">
        <v>1452061</v>
      </c>
      <c r="U197" s="257">
        <v>1495185</v>
      </c>
      <c r="V197" s="257">
        <v>1558923</v>
      </c>
      <c r="W197" s="257">
        <v>1630269</v>
      </c>
      <c r="X197" s="257">
        <v>1566341</v>
      </c>
      <c r="Y197" s="257">
        <v>1560646</v>
      </c>
      <c r="Z197" s="257">
        <v>1620179</v>
      </c>
    </row>
    <row r="198" spans="2:26">
      <c r="B198" s="38" t="s">
        <v>331</v>
      </c>
      <c r="C198" s="50">
        <v>6554702</v>
      </c>
      <c r="D198" s="50">
        <v>7203760</v>
      </c>
      <c r="E198" s="50">
        <v>7336924</v>
      </c>
      <c r="F198" s="50">
        <v>7217789</v>
      </c>
      <c r="G198" s="50">
        <v>7285026</v>
      </c>
      <c r="H198" s="50">
        <v>7095933</v>
      </c>
      <c r="I198" s="50">
        <v>7023767</v>
      </c>
      <c r="J198" s="50">
        <v>7026623</v>
      </c>
      <c r="K198" s="50">
        <v>7047922</v>
      </c>
      <c r="L198" s="259">
        <v>7156235</v>
      </c>
      <c r="M198" s="50">
        <v>7153557</v>
      </c>
      <c r="N198" s="50">
        <v>7151094</v>
      </c>
      <c r="O198" s="50">
        <v>7827146</v>
      </c>
      <c r="P198" s="257">
        <v>7912308</v>
      </c>
      <c r="Q198" s="257">
        <v>8330318</v>
      </c>
      <c r="R198" s="257">
        <v>8654330</v>
      </c>
      <c r="S198" s="257">
        <v>8790703</v>
      </c>
      <c r="T198" s="257">
        <v>8936180</v>
      </c>
      <c r="U198" s="257">
        <v>9313061</v>
      </c>
      <c r="V198" s="257">
        <v>8895514</v>
      </c>
      <c r="W198" s="257">
        <v>9904020</v>
      </c>
      <c r="X198" s="257">
        <v>10242590</v>
      </c>
      <c r="Y198" s="257">
        <v>10561192</v>
      </c>
      <c r="Z198" s="257">
        <v>10963443</v>
      </c>
    </row>
    <row r="199" spans="2:26">
      <c r="B199" s="38" t="s">
        <v>260</v>
      </c>
      <c r="C199" s="50">
        <v>110936</v>
      </c>
      <c r="D199" s="50">
        <v>277941</v>
      </c>
      <c r="E199" s="50">
        <v>137603</v>
      </c>
      <c r="F199" s="50">
        <v>137790</v>
      </c>
      <c r="G199" s="50">
        <v>152216</v>
      </c>
      <c r="H199" s="50">
        <v>295698</v>
      </c>
      <c r="I199" s="50">
        <v>278554</v>
      </c>
      <c r="J199" s="50">
        <v>299428</v>
      </c>
      <c r="K199" s="50">
        <v>302226</v>
      </c>
      <c r="L199" s="259">
        <v>306071</v>
      </c>
      <c r="M199" s="50">
        <v>300500</v>
      </c>
      <c r="N199" s="50">
        <v>302412</v>
      </c>
      <c r="O199" s="50">
        <v>319989</v>
      </c>
      <c r="P199" s="257">
        <v>359753</v>
      </c>
      <c r="Q199" s="257">
        <v>1918001</v>
      </c>
      <c r="R199" s="257">
        <v>1656620</v>
      </c>
      <c r="S199" s="257">
        <v>1626388</v>
      </c>
      <c r="T199" s="257">
        <v>1614997</v>
      </c>
      <c r="U199" s="257">
        <v>1689614</v>
      </c>
      <c r="V199" s="257">
        <v>1680877</v>
      </c>
      <c r="W199" s="257">
        <v>1678109</v>
      </c>
      <c r="X199" s="257">
        <v>1678233</v>
      </c>
      <c r="Y199" s="257">
        <v>1665617</v>
      </c>
      <c r="Z199" s="257">
        <v>1642393</v>
      </c>
    </row>
    <row r="200" spans="2:26">
      <c r="B200" s="227" t="s">
        <v>332</v>
      </c>
      <c r="C200" s="477">
        <f t="shared" ref="C200:N200" si="80">SUM(C197:C199,C186:C195)</f>
        <v>9341644</v>
      </c>
      <c r="D200" s="477">
        <f t="shared" si="80"/>
        <v>10103235</v>
      </c>
      <c r="E200" s="477">
        <f t="shared" si="80"/>
        <v>10181289.786459999</v>
      </c>
      <c r="F200" s="477">
        <f t="shared" si="80"/>
        <v>10159373</v>
      </c>
      <c r="G200" s="477">
        <f t="shared" si="80"/>
        <v>10148623</v>
      </c>
      <c r="H200" s="477">
        <f t="shared" si="80"/>
        <v>10197382</v>
      </c>
      <c r="I200" s="477">
        <f t="shared" si="80"/>
        <v>10169400</v>
      </c>
      <c r="J200" s="477">
        <f t="shared" si="80"/>
        <v>10242171</v>
      </c>
      <c r="K200" s="477">
        <f t="shared" si="80"/>
        <v>10350005</v>
      </c>
      <c r="L200" s="260">
        <f t="shared" si="80"/>
        <v>10594977</v>
      </c>
      <c r="M200" s="477">
        <f t="shared" si="80"/>
        <v>10766105</v>
      </c>
      <c r="N200" s="477">
        <f t="shared" si="80"/>
        <v>10899996</v>
      </c>
      <c r="O200" s="477">
        <f>SUM(O197:O199,O186:O195)</f>
        <v>12244046</v>
      </c>
      <c r="P200" s="260">
        <f>SUM(P197:P199,P186:P195)</f>
        <v>12268262</v>
      </c>
      <c r="Q200" s="260">
        <f>SUM(Q197:Q199,Q186:Q195)</f>
        <v>14285769</v>
      </c>
      <c r="R200" s="260">
        <f>SUM(R197:R199,R186:R195)</f>
        <v>14269685</v>
      </c>
      <c r="S200" s="260">
        <f t="shared" ref="S200:T200" si="81">SUM(S197:S199,S186:S195)</f>
        <v>14656639</v>
      </c>
      <c r="T200" s="260">
        <f t="shared" si="81"/>
        <v>14705386</v>
      </c>
      <c r="U200" s="260">
        <v>15184476</v>
      </c>
      <c r="V200" s="260">
        <v>15534283</v>
      </c>
      <c r="W200" s="260">
        <v>15915711</v>
      </c>
      <c r="X200" s="260">
        <f t="shared" ref="X200:Y200" si="82">SUM(X197:X199,X186:X195)</f>
        <v>16232892</v>
      </c>
      <c r="Y200" s="260">
        <f t="shared" si="82"/>
        <v>16540249</v>
      </c>
      <c r="Z200" s="735">
        <v>16989053</v>
      </c>
    </row>
    <row r="201" spans="2:26">
      <c r="B201" s="227" t="s">
        <v>333</v>
      </c>
      <c r="C201" s="477">
        <f t="shared" ref="C201:T201" si="83">C200+C183</f>
        <v>9901002</v>
      </c>
      <c r="D201" s="477">
        <f t="shared" si="83"/>
        <v>11096748.905060001</v>
      </c>
      <c r="E201" s="477">
        <f t="shared" si="83"/>
        <v>11397895</v>
      </c>
      <c r="F201" s="477">
        <f t="shared" si="83"/>
        <v>11665065</v>
      </c>
      <c r="G201" s="477">
        <f t="shared" si="83"/>
        <v>12395764</v>
      </c>
      <c r="H201" s="477">
        <f t="shared" si="83"/>
        <v>11290031</v>
      </c>
      <c r="I201" s="477">
        <f t="shared" si="83"/>
        <v>11755598</v>
      </c>
      <c r="J201" s="477">
        <f t="shared" si="83"/>
        <v>12162325</v>
      </c>
      <c r="K201" s="477">
        <f t="shared" si="83"/>
        <v>12189920</v>
      </c>
      <c r="L201" s="260">
        <f t="shared" si="83"/>
        <v>13648553</v>
      </c>
      <c r="M201" s="477">
        <f t="shared" si="83"/>
        <v>12689381</v>
      </c>
      <c r="N201" s="477">
        <f t="shared" si="83"/>
        <v>14446011</v>
      </c>
      <c r="O201" s="477">
        <f t="shared" si="83"/>
        <v>14568644</v>
      </c>
      <c r="P201" s="260">
        <f t="shared" si="83"/>
        <v>15617446</v>
      </c>
      <c r="Q201" s="260">
        <f t="shared" si="83"/>
        <v>16532370</v>
      </c>
      <c r="R201" s="260">
        <f t="shared" si="83"/>
        <v>16950982</v>
      </c>
      <c r="S201" s="260">
        <f t="shared" si="83"/>
        <v>16497423</v>
      </c>
      <c r="T201" s="260">
        <f t="shared" si="83"/>
        <v>16417237</v>
      </c>
      <c r="U201" s="260">
        <v>17087724</v>
      </c>
      <c r="V201" s="260">
        <v>17405709</v>
      </c>
      <c r="W201" s="260">
        <v>18206577</v>
      </c>
      <c r="X201" s="260">
        <f t="shared" ref="X201:Y201" si="84">X200+X183</f>
        <v>18299873</v>
      </c>
      <c r="Y201" s="260">
        <f t="shared" si="84"/>
        <v>19229996</v>
      </c>
      <c r="Z201" s="735">
        <v>19310471</v>
      </c>
    </row>
    <row r="202" spans="2:26">
      <c r="B202" s="235"/>
      <c r="C202" s="236"/>
      <c r="D202" s="236"/>
      <c r="E202" s="236"/>
      <c r="F202" s="236"/>
      <c r="G202" s="237"/>
      <c r="H202" s="237"/>
      <c r="I202" s="237"/>
      <c r="J202" s="238"/>
      <c r="K202" s="237"/>
      <c r="L202" s="457"/>
      <c r="M202" s="237"/>
      <c r="N202" s="237"/>
      <c r="O202" s="237"/>
      <c r="P202" s="458"/>
      <c r="Q202" s="458"/>
      <c r="R202" s="458"/>
      <c r="S202" s="458"/>
      <c r="T202" s="458"/>
      <c r="X202" s="458"/>
    </row>
    <row r="203" spans="2:26">
      <c r="B203" s="770" t="s">
        <v>263</v>
      </c>
      <c r="C203" s="771" t="s">
        <v>181</v>
      </c>
      <c r="D203" s="771"/>
      <c r="E203" s="771"/>
      <c r="F203" s="771"/>
      <c r="G203" s="771"/>
      <c r="H203" s="771"/>
      <c r="I203" s="771"/>
      <c r="J203" s="771"/>
      <c r="K203" s="771"/>
      <c r="L203" s="771"/>
      <c r="M203" s="771"/>
      <c r="N203" s="771"/>
      <c r="O203" s="771"/>
      <c r="P203" s="771"/>
      <c r="Q203" s="478"/>
      <c r="R203" s="478"/>
      <c r="S203" s="502"/>
      <c r="T203" s="502"/>
      <c r="U203" s="502"/>
      <c r="V203" s="502"/>
      <c r="W203" s="502"/>
      <c r="X203" s="502"/>
      <c r="Y203" s="502"/>
      <c r="Z203" s="502"/>
    </row>
    <row r="204" spans="2:26">
      <c r="B204" s="770"/>
      <c r="C204" s="461">
        <v>2016</v>
      </c>
      <c r="D204" s="462">
        <v>2017</v>
      </c>
      <c r="E204" s="462" t="s">
        <v>182</v>
      </c>
      <c r="F204" s="462" t="s">
        <v>183</v>
      </c>
      <c r="G204" s="462" t="s">
        <v>184</v>
      </c>
      <c r="H204" s="462" t="s">
        <v>185</v>
      </c>
      <c r="I204" s="462" t="s">
        <v>186</v>
      </c>
      <c r="J204" s="462" t="s">
        <v>187</v>
      </c>
      <c r="K204" s="462" t="s">
        <v>188</v>
      </c>
      <c r="L204" s="474" t="s">
        <v>189</v>
      </c>
      <c r="M204" s="462" t="s">
        <v>190</v>
      </c>
      <c r="N204" s="462" t="s">
        <v>191</v>
      </c>
      <c r="O204" s="462" t="s">
        <v>192</v>
      </c>
      <c r="P204" s="463" t="s">
        <v>193</v>
      </c>
      <c r="Q204" s="463" t="s">
        <v>194</v>
      </c>
      <c r="R204" s="463" t="s">
        <v>195</v>
      </c>
      <c r="S204" s="463" t="s">
        <v>196</v>
      </c>
      <c r="T204" s="463" t="s">
        <v>197</v>
      </c>
      <c r="U204" s="463" t="s">
        <v>198</v>
      </c>
      <c r="V204" s="463" t="s">
        <v>199</v>
      </c>
      <c r="W204" s="463" t="s">
        <v>200</v>
      </c>
      <c r="X204" s="463" t="s">
        <v>1153</v>
      </c>
      <c r="Y204" s="463" t="str">
        <f>+Y7</f>
        <v>1Q23</v>
      </c>
      <c r="Z204" s="463" t="s">
        <v>1208</v>
      </c>
    </row>
    <row r="205" spans="2:26">
      <c r="B205" s="229" t="s">
        <v>334</v>
      </c>
      <c r="C205" s="51"/>
      <c r="D205" s="51"/>
      <c r="E205" s="51"/>
      <c r="F205" s="229"/>
      <c r="G205" s="51"/>
      <c r="H205" s="51"/>
      <c r="I205" s="51"/>
      <c r="J205" s="51"/>
      <c r="K205" s="51"/>
      <c r="L205" s="451"/>
      <c r="M205" s="51"/>
      <c r="N205" s="51"/>
      <c r="O205" s="51"/>
      <c r="P205" s="261"/>
      <c r="Q205" s="261"/>
      <c r="R205" s="261"/>
      <c r="S205" s="261"/>
      <c r="T205" s="261"/>
      <c r="U205" s="261"/>
      <c r="V205" s="261">
        <v>0</v>
      </c>
      <c r="W205" s="261">
        <v>0</v>
      </c>
      <c r="X205" s="261"/>
      <c r="Y205" s="261"/>
      <c r="Z205" s="261"/>
    </row>
    <row r="206" spans="2:26">
      <c r="B206" s="38" t="s">
        <v>335</v>
      </c>
      <c r="C206" s="50">
        <v>71679</v>
      </c>
      <c r="D206" s="50">
        <v>268588</v>
      </c>
      <c r="E206" s="50">
        <v>261786</v>
      </c>
      <c r="F206" s="50">
        <v>287106</v>
      </c>
      <c r="G206" s="50">
        <v>98254</v>
      </c>
      <c r="H206" s="50">
        <v>334067</v>
      </c>
      <c r="I206" s="50">
        <v>344159</v>
      </c>
      <c r="J206" s="50">
        <v>337890</v>
      </c>
      <c r="K206" s="50">
        <v>981588</v>
      </c>
      <c r="L206" s="259">
        <v>709928</v>
      </c>
      <c r="M206" s="50">
        <v>886355</v>
      </c>
      <c r="N206" s="50">
        <v>919444</v>
      </c>
      <c r="O206" s="50">
        <v>96334</v>
      </c>
      <c r="P206" s="257">
        <v>94628</v>
      </c>
      <c r="Q206" s="257">
        <v>461788</v>
      </c>
      <c r="R206" s="257">
        <v>1113809</v>
      </c>
      <c r="S206" s="257">
        <v>737590</v>
      </c>
      <c r="T206" s="257">
        <v>741848</v>
      </c>
      <c r="U206" s="257">
        <v>751685</v>
      </c>
      <c r="V206" s="257">
        <v>90627</v>
      </c>
      <c r="W206" s="257">
        <v>90437</v>
      </c>
      <c r="X206" s="257">
        <v>78060</v>
      </c>
      <c r="Y206" s="257">
        <v>76659</v>
      </c>
      <c r="Z206" s="257">
        <v>1598935</v>
      </c>
    </row>
    <row r="207" spans="2:26">
      <c r="B207" s="38" t="s">
        <v>336</v>
      </c>
      <c r="C207" s="50">
        <v>192368</v>
      </c>
      <c r="D207" s="50">
        <v>182852</v>
      </c>
      <c r="E207" s="50">
        <v>183773</v>
      </c>
      <c r="F207" s="50">
        <v>183474</v>
      </c>
      <c r="G207" s="50">
        <v>197107</v>
      </c>
      <c r="H207" s="50">
        <v>23707</v>
      </c>
      <c r="I207" s="50">
        <v>22436</v>
      </c>
      <c r="J207" s="50">
        <v>15931</v>
      </c>
      <c r="K207" s="50">
        <v>26097</v>
      </c>
      <c r="L207" s="259">
        <v>367508</v>
      </c>
      <c r="M207" s="50">
        <v>371913</v>
      </c>
      <c r="N207" s="50">
        <v>363141</v>
      </c>
      <c r="O207" s="50">
        <v>542316</v>
      </c>
      <c r="P207" s="257">
        <v>217948</v>
      </c>
      <c r="Q207" s="257">
        <v>245489</v>
      </c>
      <c r="R207" s="257">
        <v>242011</v>
      </c>
      <c r="S207" s="257">
        <v>96144</v>
      </c>
      <c r="T207" s="257">
        <v>59341</v>
      </c>
      <c r="U207" s="257">
        <v>108342</v>
      </c>
      <c r="V207" s="257">
        <v>79687</v>
      </c>
      <c r="W207" s="257">
        <v>178054</v>
      </c>
      <c r="X207" s="257">
        <v>88833</v>
      </c>
      <c r="Y207" s="257">
        <v>577160</v>
      </c>
      <c r="Z207" s="257">
        <v>515516</v>
      </c>
    </row>
    <row r="208" spans="2:26">
      <c r="B208" s="38" t="s">
        <v>267</v>
      </c>
      <c r="C208" s="50">
        <v>0</v>
      </c>
      <c r="D208" s="50">
        <v>0</v>
      </c>
      <c r="E208" s="50">
        <v>0</v>
      </c>
      <c r="F208" s="50">
        <v>0</v>
      </c>
      <c r="G208" s="50">
        <v>0</v>
      </c>
      <c r="H208" s="50">
        <v>0</v>
      </c>
      <c r="I208" s="50">
        <v>0</v>
      </c>
      <c r="J208" s="50">
        <v>0</v>
      </c>
      <c r="K208" s="50">
        <v>293</v>
      </c>
      <c r="L208" s="259">
        <v>282</v>
      </c>
      <c r="M208" s="50">
        <v>240</v>
      </c>
      <c r="N208" s="50">
        <v>194</v>
      </c>
      <c r="O208" s="50">
        <v>141</v>
      </c>
      <c r="P208" s="257">
        <v>81</v>
      </c>
      <c r="Q208" s="257">
        <v>81</v>
      </c>
      <c r="R208" s="257">
        <v>63</v>
      </c>
      <c r="S208" s="257">
        <v>46</v>
      </c>
      <c r="T208" s="257">
        <v>28</v>
      </c>
      <c r="U208" s="257">
        <v>11703</v>
      </c>
      <c r="V208" s="257">
        <v>12875</v>
      </c>
      <c r="W208" s="257">
        <v>13896</v>
      </c>
      <c r="X208" s="257">
        <v>14124</v>
      </c>
      <c r="Y208" s="257">
        <v>13930</v>
      </c>
      <c r="Z208" s="257">
        <v>9387</v>
      </c>
    </row>
    <row r="209" spans="2:26">
      <c r="B209" s="38" t="s">
        <v>337</v>
      </c>
      <c r="C209" s="50"/>
      <c r="D209" s="50"/>
      <c r="E209" s="50"/>
      <c r="F209" s="50"/>
      <c r="G209" s="50"/>
      <c r="H209" s="50"/>
      <c r="I209" s="50"/>
      <c r="J209" s="50"/>
      <c r="K209" s="50"/>
      <c r="L209" s="257" t="s">
        <v>214</v>
      </c>
      <c r="M209" s="257" t="s">
        <v>214</v>
      </c>
      <c r="N209" s="257" t="s">
        <v>214</v>
      </c>
      <c r="O209" s="257" t="s">
        <v>214</v>
      </c>
      <c r="P209" s="257">
        <v>2578</v>
      </c>
      <c r="Q209" s="257">
        <v>0</v>
      </c>
      <c r="R209" s="257">
        <v>0</v>
      </c>
      <c r="S209" s="257">
        <v>0</v>
      </c>
      <c r="T209" s="257">
        <v>1931</v>
      </c>
      <c r="U209" s="257">
        <v>18142</v>
      </c>
      <c r="V209" s="257">
        <v>4263</v>
      </c>
      <c r="W209" s="257">
        <v>10</v>
      </c>
      <c r="X209" s="257">
        <v>0</v>
      </c>
      <c r="Y209" s="257">
        <v>378</v>
      </c>
      <c r="Z209" s="257">
        <v>4076</v>
      </c>
    </row>
    <row r="210" spans="2:26">
      <c r="B210" s="38" t="s">
        <v>268</v>
      </c>
      <c r="C210" s="50">
        <v>41482</v>
      </c>
      <c r="D210" s="50">
        <v>69923</v>
      </c>
      <c r="E210" s="50">
        <v>49255</v>
      </c>
      <c r="F210" s="50">
        <v>58806</v>
      </c>
      <c r="G210" s="50">
        <v>68022</v>
      </c>
      <c r="H210" s="50">
        <v>88358</v>
      </c>
      <c r="I210" s="50">
        <v>72276</v>
      </c>
      <c r="J210" s="50">
        <v>70721</v>
      </c>
      <c r="K210" s="50">
        <v>72057</v>
      </c>
      <c r="L210" s="259">
        <v>167774</v>
      </c>
      <c r="M210" s="50">
        <v>167858</v>
      </c>
      <c r="N210" s="50">
        <v>139217</v>
      </c>
      <c r="O210" s="50">
        <v>112304</v>
      </c>
      <c r="P210" s="257">
        <v>153346</v>
      </c>
      <c r="Q210" s="257">
        <v>100371</v>
      </c>
      <c r="R210" s="257">
        <v>90525</v>
      </c>
      <c r="S210" s="257">
        <v>71377</v>
      </c>
      <c r="T210" s="257">
        <v>84465</v>
      </c>
      <c r="U210" s="257">
        <v>84169</v>
      </c>
      <c r="V210" s="257">
        <v>88701</v>
      </c>
      <c r="W210" s="257">
        <v>145342</v>
      </c>
      <c r="X210" s="257">
        <v>114962</v>
      </c>
      <c r="Y210" s="257">
        <v>95111</v>
      </c>
      <c r="Z210" s="257">
        <v>153098</v>
      </c>
    </row>
    <row r="211" spans="2:26">
      <c r="B211" s="38" t="s">
        <v>338</v>
      </c>
      <c r="C211" s="50">
        <v>39021</v>
      </c>
      <c r="D211" s="50">
        <v>90502</v>
      </c>
      <c r="E211" s="50">
        <v>224543</v>
      </c>
      <c r="F211" s="50">
        <v>389278</v>
      </c>
      <c r="G211" s="50">
        <v>540175</v>
      </c>
      <c r="H211" s="50">
        <v>54382</v>
      </c>
      <c r="I211" s="50">
        <v>163232</v>
      </c>
      <c r="J211" s="50">
        <v>293084</v>
      </c>
      <c r="K211" s="50">
        <v>287359</v>
      </c>
      <c r="L211" s="259">
        <v>92106</v>
      </c>
      <c r="M211" s="50">
        <v>127657</v>
      </c>
      <c r="N211" s="50">
        <v>262320</v>
      </c>
      <c r="O211" s="50">
        <v>478040</v>
      </c>
      <c r="P211" s="257">
        <v>255614</v>
      </c>
      <c r="Q211" s="257">
        <v>268737</v>
      </c>
      <c r="R211" s="257">
        <v>394085</v>
      </c>
      <c r="S211" s="257">
        <v>483437</v>
      </c>
      <c r="T211" s="257">
        <v>60990</v>
      </c>
      <c r="U211" s="257">
        <v>94776</v>
      </c>
      <c r="V211" s="257">
        <v>108596</v>
      </c>
      <c r="W211" s="257">
        <v>255933</v>
      </c>
      <c r="X211" s="257">
        <v>197279</v>
      </c>
      <c r="Y211" s="257">
        <v>189634</v>
      </c>
      <c r="Z211" s="257">
        <v>290383</v>
      </c>
    </row>
    <row r="212" spans="2:26">
      <c r="B212" s="38" t="s">
        <v>339</v>
      </c>
      <c r="C212" s="50">
        <v>17540</v>
      </c>
      <c r="D212" s="50">
        <v>57997</v>
      </c>
      <c r="E212" s="50">
        <v>0</v>
      </c>
      <c r="F212" s="50">
        <v>0</v>
      </c>
      <c r="G212" s="50">
        <v>0</v>
      </c>
      <c r="H212" s="50">
        <v>0</v>
      </c>
      <c r="I212" s="50">
        <v>0</v>
      </c>
      <c r="J212" s="50">
        <v>0</v>
      </c>
      <c r="K212" s="50">
        <v>0</v>
      </c>
      <c r="L212" s="259">
        <v>0</v>
      </c>
      <c r="M212" s="50">
        <v>0</v>
      </c>
      <c r="N212" s="50">
        <v>0</v>
      </c>
      <c r="O212" s="50">
        <v>0</v>
      </c>
      <c r="P212" s="257" t="s">
        <v>214</v>
      </c>
      <c r="Q212" s="257">
        <v>0</v>
      </c>
      <c r="R212" s="257">
        <v>0</v>
      </c>
      <c r="S212" s="257"/>
      <c r="T212" s="257">
        <v>6</v>
      </c>
      <c r="U212" s="257">
        <v>0</v>
      </c>
      <c r="V212" s="257">
        <v>0</v>
      </c>
      <c r="W212" s="257">
        <v>0</v>
      </c>
      <c r="X212" s="257">
        <v>0</v>
      </c>
      <c r="Y212" s="257">
        <v>0</v>
      </c>
      <c r="Z212" s="257">
        <v>0</v>
      </c>
    </row>
    <row r="213" spans="2:26">
      <c r="B213" s="38" t="s">
        <v>340</v>
      </c>
      <c r="C213" s="50">
        <v>12766</v>
      </c>
      <c r="D213" s="50">
        <v>16550</v>
      </c>
      <c r="E213" s="50">
        <v>32399</v>
      </c>
      <c r="F213" s="50">
        <v>39059</v>
      </c>
      <c r="G213" s="50">
        <v>39260</v>
      </c>
      <c r="H213" s="50">
        <v>40262</v>
      </c>
      <c r="I213" s="50">
        <v>39302</v>
      </c>
      <c r="J213" s="50">
        <v>44878</v>
      </c>
      <c r="K213" s="50">
        <v>45687</v>
      </c>
      <c r="L213" s="259">
        <v>48336</v>
      </c>
      <c r="M213" s="50">
        <v>48970</v>
      </c>
      <c r="N213" s="50">
        <v>52653</v>
      </c>
      <c r="O213" s="50">
        <v>52518</v>
      </c>
      <c r="P213" s="257">
        <v>49457</v>
      </c>
      <c r="Q213" s="257">
        <v>44836</v>
      </c>
      <c r="R213" s="257">
        <v>34900</v>
      </c>
      <c r="S213" s="257">
        <v>48778</v>
      </c>
      <c r="T213" s="257">
        <v>58371</v>
      </c>
      <c r="U213" s="257">
        <v>0</v>
      </c>
      <c r="V213" s="257">
        <v>0</v>
      </c>
      <c r="W213" s="257">
        <v>0</v>
      </c>
      <c r="X213" s="257">
        <v>0</v>
      </c>
      <c r="Y213" s="257">
        <v>0</v>
      </c>
      <c r="Z213" s="257">
        <v>0</v>
      </c>
    </row>
    <row r="214" spans="2:26">
      <c r="B214" s="38" t="s">
        <v>341</v>
      </c>
      <c r="C214" s="50"/>
      <c r="D214" s="50"/>
      <c r="E214" s="50"/>
      <c r="F214" s="50"/>
      <c r="G214" s="50"/>
      <c r="H214" s="50"/>
      <c r="I214" s="50"/>
      <c r="J214" s="50"/>
      <c r="K214" s="50"/>
      <c r="L214" s="259"/>
      <c r="M214" s="50"/>
      <c r="N214" s="50"/>
      <c r="O214" s="50"/>
      <c r="P214" s="257">
        <v>0</v>
      </c>
      <c r="Q214" s="257">
        <v>67260</v>
      </c>
      <c r="R214" s="257">
        <v>67330</v>
      </c>
      <c r="S214" s="257">
        <v>102</v>
      </c>
      <c r="T214" s="257">
        <v>0</v>
      </c>
      <c r="U214" s="257">
        <v>67687</v>
      </c>
      <c r="V214" s="257">
        <v>80393</v>
      </c>
      <c r="W214" s="257">
        <v>78654</v>
      </c>
      <c r="X214" s="257">
        <v>60807</v>
      </c>
      <c r="Y214" s="257">
        <v>67396</v>
      </c>
      <c r="Z214" s="257">
        <v>60026</v>
      </c>
    </row>
    <row r="215" spans="2:26">
      <c r="B215" s="38" t="s">
        <v>342</v>
      </c>
      <c r="C215" s="50">
        <v>139946</v>
      </c>
      <c r="D215" s="50">
        <v>3112</v>
      </c>
      <c r="E215" s="50">
        <v>3111</v>
      </c>
      <c r="F215" s="50">
        <v>5159</v>
      </c>
      <c r="G215" s="50">
        <v>5137</v>
      </c>
      <c r="H215" s="50">
        <v>7835</v>
      </c>
      <c r="I215" s="50">
        <v>7831</v>
      </c>
      <c r="J215" s="50">
        <v>7798</v>
      </c>
      <c r="K215" s="50">
        <v>8411</v>
      </c>
      <c r="L215" s="259">
        <v>102079</v>
      </c>
      <c r="M215" s="50">
        <v>9731</v>
      </c>
      <c r="N215" s="50">
        <v>10102</v>
      </c>
      <c r="O215" s="50">
        <v>10406</v>
      </c>
      <c r="P215" s="257">
        <v>500513</v>
      </c>
      <c r="Q215" s="257">
        <v>1068548</v>
      </c>
      <c r="R215" s="257">
        <v>16236</v>
      </c>
      <c r="S215" s="257">
        <v>13467</v>
      </c>
      <c r="T215" s="257">
        <v>110543</v>
      </c>
      <c r="U215" s="257">
        <v>12828</v>
      </c>
      <c r="V215" s="257">
        <v>16217</v>
      </c>
      <c r="W215" s="257">
        <v>16212</v>
      </c>
      <c r="X215" s="257">
        <v>611042</v>
      </c>
      <c r="Y215" s="257">
        <v>611181</v>
      </c>
      <c r="Z215" s="257">
        <v>13461</v>
      </c>
    </row>
    <row r="216" spans="2:26">
      <c r="B216" s="38" t="s">
        <v>280</v>
      </c>
      <c r="C216" s="50">
        <v>33610</v>
      </c>
      <c r="D216" s="50">
        <v>36344</v>
      </c>
      <c r="E216" s="50">
        <v>29714</v>
      </c>
      <c r="F216" s="50">
        <v>40457</v>
      </c>
      <c r="G216" s="50">
        <v>42515</v>
      </c>
      <c r="H216" s="50">
        <v>37047</v>
      </c>
      <c r="I216" s="50">
        <v>29156</v>
      </c>
      <c r="J216" s="50">
        <v>38239</v>
      </c>
      <c r="K216" s="50">
        <v>41182</v>
      </c>
      <c r="L216" s="259">
        <v>33341</v>
      </c>
      <c r="M216" s="50">
        <v>26512</v>
      </c>
      <c r="N216" s="50">
        <v>37797</v>
      </c>
      <c r="O216" s="50">
        <v>48833</v>
      </c>
      <c r="P216" s="257">
        <v>45094</v>
      </c>
      <c r="Q216" s="257">
        <v>36212</v>
      </c>
      <c r="R216" s="257">
        <v>45062</v>
      </c>
      <c r="S216" s="257">
        <v>50475</v>
      </c>
      <c r="T216" s="257">
        <v>46507</v>
      </c>
      <c r="U216" s="257">
        <v>36651</v>
      </c>
      <c r="V216" s="257">
        <v>47483</v>
      </c>
      <c r="W216" s="257">
        <v>53028</v>
      </c>
      <c r="X216" s="257">
        <v>53810</v>
      </c>
      <c r="Y216" s="257">
        <v>40440</v>
      </c>
      <c r="Z216" s="257">
        <v>56625</v>
      </c>
    </row>
    <row r="217" spans="2:26">
      <c r="B217" s="38" t="s">
        <v>275</v>
      </c>
      <c r="C217" s="50">
        <v>5495</v>
      </c>
      <c r="D217" s="50">
        <v>2056</v>
      </c>
      <c r="E217" s="50">
        <v>3309</v>
      </c>
      <c r="F217" s="50">
        <v>4655</v>
      </c>
      <c r="G217" s="50">
        <v>3579</v>
      </c>
      <c r="H217" s="50">
        <v>4250</v>
      </c>
      <c r="I217" s="50">
        <v>5103</v>
      </c>
      <c r="J217" s="50">
        <v>4157</v>
      </c>
      <c r="K217" s="50">
        <v>3782</v>
      </c>
      <c r="L217" s="259">
        <v>2173</v>
      </c>
      <c r="M217" s="50">
        <v>2176</v>
      </c>
      <c r="N217" s="50">
        <v>2730</v>
      </c>
      <c r="O217" s="50">
        <v>868</v>
      </c>
      <c r="P217" s="257">
        <v>871</v>
      </c>
      <c r="Q217" s="257">
        <v>855</v>
      </c>
      <c r="R217" s="257">
        <v>858</v>
      </c>
      <c r="S217" s="257">
        <v>858</v>
      </c>
      <c r="T217" s="257">
        <v>858</v>
      </c>
      <c r="U217" s="257">
        <v>939</v>
      </c>
      <c r="V217" s="257">
        <v>947</v>
      </c>
      <c r="W217" s="257">
        <v>947</v>
      </c>
      <c r="X217" s="257">
        <v>823</v>
      </c>
      <c r="Y217" s="257">
        <v>823</v>
      </c>
      <c r="Z217" s="257">
        <v>698</v>
      </c>
    </row>
    <row r="218" spans="2:26">
      <c r="B218" s="38" t="s">
        <v>276</v>
      </c>
      <c r="C218" s="50">
        <v>0</v>
      </c>
      <c r="D218" s="50">
        <v>0</v>
      </c>
      <c r="E218" s="50">
        <v>0</v>
      </c>
      <c r="F218" s="50">
        <v>0</v>
      </c>
      <c r="G218" s="50">
        <v>1860</v>
      </c>
      <c r="H218" s="50">
        <v>2480</v>
      </c>
      <c r="I218" s="50">
        <v>2480</v>
      </c>
      <c r="J218" s="50">
        <v>2480</v>
      </c>
      <c r="K218" s="50">
        <v>2480</v>
      </c>
      <c r="L218" s="259">
        <v>2480</v>
      </c>
      <c r="M218" s="50">
        <v>2480</v>
      </c>
      <c r="N218" s="50">
        <v>2480</v>
      </c>
      <c r="O218" s="50">
        <v>2480</v>
      </c>
      <c r="P218" s="257">
        <v>2480</v>
      </c>
      <c r="Q218" s="257">
        <v>2480</v>
      </c>
      <c r="R218" s="257">
        <v>2480</v>
      </c>
      <c r="S218" s="257">
        <v>2480</v>
      </c>
      <c r="T218" s="257">
        <v>2480</v>
      </c>
      <c r="U218" s="257">
        <v>0</v>
      </c>
      <c r="V218" s="257">
        <v>0</v>
      </c>
      <c r="W218" s="257">
        <v>0</v>
      </c>
      <c r="X218" s="257">
        <v>0</v>
      </c>
      <c r="Y218" s="257">
        <v>0</v>
      </c>
      <c r="Z218" s="257">
        <v>0</v>
      </c>
    </row>
    <row r="219" spans="2:26">
      <c r="B219" s="38" t="s">
        <v>343</v>
      </c>
      <c r="C219" s="50"/>
      <c r="D219" s="50"/>
      <c r="E219" s="50"/>
      <c r="F219" s="50"/>
      <c r="G219" s="50"/>
      <c r="H219" s="50"/>
      <c r="I219" s="50"/>
      <c r="J219" s="50"/>
      <c r="K219" s="50"/>
      <c r="L219" s="259"/>
      <c r="M219" s="50"/>
      <c r="N219" s="50"/>
      <c r="O219" s="50"/>
      <c r="P219" s="257">
        <v>0</v>
      </c>
      <c r="Q219" s="257">
        <v>3947</v>
      </c>
      <c r="R219" s="257">
        <v>0</v>
      </c>
      <c r="S219" s="257">
        <v>0</v>
      </c>
      <c r="T219" s="257">
        <v>0</v>
      </c>
      <c r="U219" s="257">
        <v>0</v>
      </c>
      <c r="V219" s="257">
        <v>0</v>
      </c>
      <c r="W219" s="257">
        <v>2480</v>
      </c>
      <c r="X219" s="257">
        <v>0</v>
      </c>
      <c r="Y219" s="257">
        <v>0</v>
      </c>
      <c r="Z219" s="257">
        <v>0</v>
      </c>
    </row>
    <row r="220" spans="2:26">
      <c r="B220" s="38" t="s">
        <v>249</v>
      </c>
      <c r="C220" s="50">
        <v>53047</v>
      </c>
      <c r="D220" s="50">
        <v>61180</v>
      </c>
      <c r="E220" s="50">
        <v>57876</v>
      </c>
      <c r="F220" s="50">
        <v>16385</v>
      </c>
      <c r="G220" s="50">
        <v>13852</v>
      </c>
      <c r="H220" s="50">
        <v>34310</v>
      </c>
      <c r="I220" s="50">
        <v>27472</v>
      </c>
      <c r="J220" s="50">
        <v>56345</v>
      </c>
      <c r="K220" s="50">
        <v>70150</v>
      </c>
      <c r="L220" s="259">
        <v>80152</v>
      </c>
      <c r="M220" s="50">
        <v>55374</v>
      </c>
      <c r="N220" s="50">
        <v>34641</v>
      </c>
      <c r="O220" s="50">
        <v>45567</v>
      </c>
      <c r="P220" s="257">
        <v>43743</v>
      </c>
      <c r="Q220" s="257">
        <v>56916</v>
      </c>
      <c r="R220" s="257">
        <v>51763</v>
      </c>
      <c r="S220" s="257">
        <v>54158</v>
      </c>
      <c r="T220" s="257">
        <v>50707</v>
      </c>
      <c r="U220" s="257">
        <v>46192</v>
      </c>
      <c r="V220" s="257">
        <v>35605</v>
      </c>
      <c r="W220" s="257">
        <v>60592</v>
      </c>
      <c r="X220" s="257">
        <v>76799</v>
      </c>
      <c r="Y220" s="257">
        <v>58988</v>
      </c>
      <c r="Z220" s="257">
        <v>41265</v>
      </c>
    </row>
    <row r="221" spans="2:26">
      <c r="B221" s="227"/>
      <c r="C221" s="52">
        <f t="shared" ref="C221:N221" si="85">SUM(C206:C220)</f>
        <v>606954</v>
      </c>
      <c r="D221" s="52">
        <f t="shared" si="85"/>
        <v>789104</v>
      </c>
      <c r="E221" s="52">
        <f t="shared" si="85"/>
        <v>845766</v>
      </c>
      <c r="F221" s="52">
        <f t="shared" si="85"/>
        <v>1024379</v>
      </c>
      <c r="G221" s="52">
        <f t="shared" si="85"/>
        <v>1009761</v>
      </c>
      <c r="H221" s="52">
        <f t="shared" si="85"/>
        <v>626698</v>
      </c>
      <c r="I221" s="52">
        <f t="shared" si="85"/>
        <v>713447</v>
      </c>
      <c r="J221" s="52">
        <f t="shared" si="85"/>
        <v>871523</v>
      </c>
      <c r="K221" s="52">
        <f t="shared" si="85"/>
        <v>1539086</v>
      </c>
      <c r="L221" s="228">
        <f t="shared" si="85"/>
        <v>1606159</v>
      </c>
      <c r="M221" s="52">
        <f t="shared" si="85"/>
        <v>1699266</v>
      </c>
      <c r="N221" s="52">
        <f t="shared" si="85"/>
        <v>1824719</v>
      </c>
      <c r="O221" s="52">
        <f>SUM(O206:O220)</f>
        <v>1389807</v>
      </c>
      <c r="P221" s="260">
        <f>SUM(P206:P220)</f>
        <v>1366353</v>
      </c>
      <c r="Q221" s="260">
        <f>SUM(Q206:Q220)</f>
        <v>2357520</v>
      </c>
      <c r="R221" s="260">
        <f>SUM(R206:R220)</f>
        <v>2059122</v>
      </c>
      <c r="S221" s="260">
        <f t="shared" ref="S221:T221" si="86">SUM(S206:S220)</f>
        <v>1558912</v>
      </c>
      <c r="T221" s="260">
        <f t="shared" si="86"/>
        <v>1218075</v>
      </c>
      <c r="U221" s="260">
        <v>1233114</v>
      </c>
      <c r="V221" s="260">
        <v>565394</v>
      </c>
      <c r="W221" s="260">
        <v>895585</v>
      </c>
      <c r="X221" s="260">
        <f t="shared" ref="X221:Y221" si="87">SUM(X206:X220)</f>
        <v>1296539</v>
      </c>
      <c r="Y221" s="260">
        <f t="shared" si="87"/>
        <v>1731700</v>
      </c>
      <c r="Z221" s="260">
        <v>2743470</v>
      </c>
    </row>
    <row r="222" spans="2:26">
      <c r="B222" s="229" t="s">
        <v>344</v>
      </c>
      <c r="C222" s="51"/>
      <c r="D222" s="51"/>
      <c r="E222" s="51"/>
      <c r="F222" s="229"/>
      <c r="G222" s="51"/>
      <c r="H222" s="51"/>
      <c r="I222" s="51"/>
      <c r="J222" s="51"/>
      <c r="K222" s="51"/>
      <c r="L222" s="451"/>
      <c r="M222" s="51"/>
      <c r="N222" s="51"/>
      <c r="O222" s="51"/>
      <c r="P222" s="261"/>
      <c r="Q222" s="261"/>
      <c r="R222" s="261"/>
      <c r="S222" s="261"/>
      <c r="T222" s="261"/>
      <c r="U222" s="261"/>
      <c r="V222" s="261"/>
      <c r="W222" s="261"/>
      <c r="X222" s="261"/>
      <c r="Y222" s="261"/>
      <c r="Z222" s="261"/>
    </row>
    <row r="223" spans="2:26">
      <c r="B223" s="239" t="s">
        <v>345</v>
      </c>
      <c r="C223" s="240"/>
      <c r="D223" s="241"/>
      <c r="E223" s="241"/>
      <c r="F223" s="240"/>
      <c r="G223" s="240"/>
      <c r="H223" s="240"/>
      <c r="I223" s="240"/>
      <c r="J223" s="240"/>
      <c r="K223" s="240"/>
      <c r="L223" s="459"/>
      <c r="M223" s="240"/>
      <c r="N223" s="240"/>
      <c r="O223" s="240"/>
      <c r="P223" s="287"/>
      <c r="Q223" s="287"/>
      <c r="R223" s="287"/>
      <c r="S223" s="287"/>
      <c r="T223" s="287"/>
      <c r="U223" s="287"/>
      <c r="V223" s="287"/>
      <c r="W223" s="287"/>
      <c r="X223" s="287"/>
      <c r="Y223" s="287"/>
      <c r="Z223" s="287"/>
    </row>
    <row r="224" spans="2:26">
      <c r="B224" s="38" t="s">
        <v>335</v>
      </c>
      <c r="C224" s="50">
        <v>432472</v>
      </c>
      <c r="D224" s="50">
        <v>690541</v>
      </c>
      <c r="E224" s="50">
        <v>677182</v>
      </c>
      <c r="F224" s="50">
        <v>657248</v>
      </c>
      <c r="G224" s="50">
        <v>1258364</v>
      </c>
      <c r="H224" s="50">
        <v>1215689</v>
      </c>
      <c r="I224" s="50">
        <v>1273554</v>
      </c>
      <c r="J224" s="50">
        <v>1264523</v>
      </c>
      <c r="K224" s="50">
        <v>660197</v>
      </c>
      <c r="L224" s="259">
        <v>637448</v>
      </c>
      <c r="M224" s="50">
        <v>620011</v>
      </c>
      <c r="N224" s="50">
        <v>1248161</v>
      </c>
      <c r="O224" s="50">
        <v>1228231</v>
      </c>
      <c r="P224" s="259">
        <v>1208301</v>
      </c>
      <c r="Q224" s="259">
        <v>1182886</v>
      </c>
      <c r="R224" s="259">
        <v>1722627</v>
      </c>
      <c r="S224" s="257">
        <v>1721742</v>
      </c>
      <c r="T224" s="257">
        <v>1728681</v>
      </c>
      <c r="U224" s="257">
        <v>1953199</v>
      </c>
      <c r="V224" s="257">
        <v>1985056</v>
      </c>
      <c r="W224" s="257">
        <v>2013726</v>
      </c>
      <c r="X224" s="257">
        <v>2012601</v>
      </c>
      <c r="Y224" s="257">
        <v>2046998</v>
      </c>
      <c r="Z224" s="257">
        <v>565503</v>
      </c>
    </row>
    <row r="225" spans="2:26">
      <c r="B225" s="38" t="s">
        <v>336</v>
      </c>
      <c r="C225" s="50">
        <v>313931</v>
      </c>
      <c r="D225" s="50">
        <v>801007</v>
      </c>
      <c r="E225" s="50">
        <v>806204</v>
      </c>
      <c r="F225" s="50">
        <v>1420052</v>
      </c>
      <c r="G225" s="50">
        <v>1437775</v>
      </c>
      <c r="H225" s="50">
        <v>1441504</v>
      </c>
      <c r="I225" s="50">
        <v>1457692</v>
      </c>
      <c r="J225" s="50">
        <v>1475140</v>
      </c>
      <c r="K225" s="50">
        <v>1480445</v>
      </c>
      <c r="L225" s="259">
        <v>1528971</v>
      </c>
      <c r="M225" s="50">
        <v>1554166</v>
      </c>
      <c r="N225" s="50">
        <v>1545549</v>
      </c>
      <c r="O225" s="50">
        <v>1392099</v>
      </c>
      <c r="P225" s="259">
        <v>2961318</v>
      </c>
      <c r="Q225" s="259">
        <v>3664357</v>
      </c>
      <c r="R225" s="259">
        <v>3707753</v>
      </c>
      <c r="S225" s="257">
        <v>3788738</v>
      </c>
      <c r="T225" s="257">
        <v>4829761</v>
      </c>
      <c r="U225" s="257">
        <v>4938992</v>
      </c>
      <c r="V225" s="257">
        <v>5783645</v>
      </c>
      <c r="W225" s="257">
        <v>5777900</v>
      </c>
      <c r="X225" s="257">
        <v>5805235</v>
      </c>
      <c r="Y225" s="257">
        <v>6040108</v>
      </c>
      <c r="Z225" s="257">
        <v>6119491</v>
      </c>
    </row>
    <row r="226" spans="2:26">
      <c r="B226" s="38" t="s">
        <v>267</v>
      </c>
      <c r="C226" s="50">
        <v>0</v>
      </c>
      <c r="D226" s="50">
        <v>0</v>
      </c>
      <c r="E226" s="50">
        <v>0</v>
      </c>
      <c r="F226" s="50">
        <v>0</v>
      </c>
      <c r="G226" s="50">
        <v>0</v>
      </c>
      <c r="H226" s="50">
        <v>0</v>
      </c>
      <c r="I226" s="50">
        <v>0</v>
      </c>
      <c r="J226" s="50">
        <v>0</v>
      </c>
      <c r="K226" s="50">
        <v>158</v>
      </c>
      <c r="L226" s="259">
        <v>101</v>
      </c>
      <c r="M226" s="50">
        <v>73</v>
      </c>
      <c r="N226" s="50">
        <v>62</v>
      </c>
      <c r="O226" s="50">
        <v>35</v>
      </c>
      <c r="P226" s="259">
        <v>18</v>
      </c>
      <c r="Q226" s="259">
        <v>0</v>
      </c>
      <c r="R226" s="259">
        <v>0</v>
      </c>
      <c r="S226" s="257">
        <v>0</v>
      </c>
      <c r="T226" s="257">
        <v>0</v>
      </c>
      <c r="U226" s="257">
        <v>42927</v>
      </c>
      <c r="V226" s="257">
        <v>39980</v>
      </c>
      <c r="W226" s="257">
        <v>45951</v>
      </c>
      <c r="X226" s="257">
        <v>42844</v>
      </c>
      <c r="Y226" s="257">
        <v>39454</v>
      </c>
      <c r="Z226" s="257">
        <v>24179</v>
      </c>
    </row>
    <row r="227" spans="2:26">
      <c r="B227" s="38" t="s">
        <v>244</v>
      </c>
      <c r="C227" s="50">
        <v>0</v>
      </c>
      <c r="D227" s="50">
        <v>0</v>
      </c>
      <c r="E227" s="50">
        <v>0</v>
      </c>
      <c r="F227" s="50">
        <v>0</v>
      </c>
      <c r="G227" s="50">
        <v>0</v>
      </c>
      <c r="H227" s="50">
        <v>0</v>
      </c>
      <c r="I227" s="50">
        <v>0</v>
      </c>
      <c r="J227" s="50">
        <v>2760</v>
      </c>
      <c r="K227" s="50">
        <v>0</v>
      </c>
      <c r="L227" s="259">
        <v>135</v>
      </c>
      <c r="M227" s="50">
        <v>0</v>
      </c>
      <c r="N227" s="50">
        <v>0</v>
      </c>
      <c r="O227" s="50">
        <v>0</v>
      </c>
      <c r="P227" s="259">
        <v>0</v>
      </c>
      <c r="Q227" s="259">
        <v>0</v>
      </c>
      <c r="R227" s="259">
        <v>0</v>
      </c>
      <c r="S227" s="257"/>
      <c r="T227" s="257">
        <v>0</v>
      </c>
      <c r="U227" s="257">
        <v>6561</v>
      </c>
      <c r="V227" s="257">
        <v>0</v>
      </c>
      <c r="W227" s="257">
        <v>1908</v>
      </c>
      <c r="X227" s="257">
        <v>4117</v>
      </c>
      <c r="Y227" s="257">
        <v>9655</v>
      </c>
      <c r="Z227" s="257">
        <v>20662</v>
      </c>
    </row>
    <row r="228" spans="2:26">
      <c r="B228" s="38" t="s">
        <v>268</v>
      </c>
      <c r="C228" s="50"/>
      <c r="D228" s="50"/>
      <c r="E228" s="50"/>
      <c r="F228" s="50"/>
      <c r="G228" s="50"/>
      <c r="H228" s="50"/>
      <c r="I228" s="50"/>
      <c r="J228" s="50"/>
      <c r="K228" s="50"/>
      <c r="L228" s="259"/>
      <c r="M228" s="50"/>
      <c r="N228" s="50"/>
      <c r="O228" s="50"/>
      <c r="P228" s="259">
        <v>0</v>
      </c>
      <c r="Q228" s="259">
        <v>0</v>
      </c>
      <c r="R228" s="259">
        <v>14535</v>
      </c>
      <c r="S228" s="257">
        <v>32213</v>
      </c>
      <c r="T228" s="257">
        <v>6336</v>
      </c>
      <c r="U228" s="257">
        <v>6323</v>
      </c>
      <c r="V228" s="257">
        <v>6308</v>
      </c>
      <c r="W228" s="257">
        <v>6308</v>
      </c>
      <c r="X228" s="257">
        <v>6056</v>
      </c>
      <c r="Y228" s="257">
        <v>6024</v>
      </c>
      <c r="Z228" s="257">
        <v>5816</v>
      </c>
    </row>
    <row r="229" spans="2:26">
      <c r="B229" s="38" t="s">
        <v>346</v>
      </c>
      <c r="C229" s="50"/>
      <c r="D229" s="50"/>
      <c r="E229" s="50"/>
      <c r="F229" s="50"/>
      <c r="G229" s="50"/>
      <c r="H229" s="50"/>
      <c r="I229" s="50"/>
      <c r="J229" s="50"/>
      <c r="K229" s="50"/>
      <c r="L229" s="257" t="s">
        <v>214</v>
      </c>
      <c r="M229" s="257" t="s">
        <v>214</v>
      </c>
      <c r="N229" s="257" t="s">
        <v>214</v>
      </c>
      <c r="O229" s="257" t="s">
        <v>214</v>
      </c>
      <c r="P229" s="259">
        <v>381978</v>
      </c>
      <c r="Q229" s="259">
        <v>394078</v>
      </c>
      <c r="R229" s="259">
        <v>406048</v>
      </c>
      <c r="S229" s="257">
        <v>417940</v>
      </c>
      <c r="T229" s="257">
        <v>465847</v>
      </c>
      <c r="U229" s="257">
        <v>481232</v>
      </c>
      <c r="V229" s="257">
        <v>496959</v>
      </c>
      <c r="W229" s="257">
        <v>512205</v>
      </c>
      <c r="X229" s="257">
        <v>154282</v>
      </c>
      <c r="Y229" s="257">
        <v>156777</v>
      </c>
      <c r="Z229" s="257">
        <v>156140</v>
      </c>
    </row>
    <row r="230" spans="2:26">
      <c r="B230" s="38" t="s">
        <v>339</v>
      </c>
      <c r="C230" s="50">
        <v>119857</v>
      </c>
      <c r="D230" s="50">
        <v>0</v>
      </c>
      <c r="E230" s="50">
        <v>0</v>
      </c>
      <c r="F230" s="50">
        <v>0</v>
      </c>
      <c r="G230" s="50">
        <v>0</v>
      </c>
      <c r="H230" s="50">
        <v>0</v>
      </c>
      <c r="I230" s="50">
        <v>0</v>
      </c>
      <c r="J230" s="50">
        <v>0</v>
      </c>
      <c r="K230" s="50">
        <v>0</v>
      </c>
      <c r="L230" s="259">
        <v>0</v>
      </c>
      <c r="M230" s="50">
        <v>0</v>
      </c>
      <c r="N230" s="50">
        <v>0</v>
      </c>
      <c r="O230" s="50">
        <v>0</v>
      </c>
      <c r="P230" s="259">
        <v>0</v>
      </c>
      <c r="Q230" s="259">
        <v>0</v>
      </c>
      <c r="R230" s="259">
        <v>0</v>
      </c>
      <c r="S230" s="257">
        <v>0</v>
      </c>
      <c r="T230" s="257">
        <v>0</v>
      </c>
      <c r="U230" s="257">
        <v>0</v>
      </c>
      <c r="V230" s="257">
        <v>0</v>
      </c>
      <c r="W230" s="257">
        <v>0</v>
      </c>
      <c r="X230" s="257">
        <v>0</v>
      </c>
      <c r="Y230" s="257">
        <v>0</v>
      </c>
      <c r="Z230" s="257">
        <v>0</v>
      </c>
    </row>
    <row r="231" spans="2:26">
      <c r="B231" s="38" t="s">
        <v>347</v>
      </c>
      <c r="C231" s="50">
        <v>0</v>
      </c>
      <c r="D231" s="50">
        <v>0</v>
      </c>
      <c r="E231" s="50">
        <v>0</v>
      </c>
      <c r="F231" s="50">
        <v>0</v>
      </c>
      <c r="G231" s="50">
        <v>0</v>
      </c>
      <c r="H231" s="50">
        <v>0</v>
      </c>
      <c r="I231" s="50">
        <v>0</v>
      </c>
      <c r="J231" s="50">
        <v>0</v>
      </c>
      <c r="K231" s="50">
        <v>0</v>
      </c>
      <c r="L231" s="259">
        <v>0</v>
      </c>
      <c r="M231" s="50">
        <v>0</v>
      </c>
      <c r="N231" s="50">
        <v>82703</v>
      </c>
      <c r="O231" s="50">
        <v>77117</v>
      </c>
      <c r="P231" s="259">
        <v>71465</v>
      </c>
      <c r="Q231" s="259">
        <v>65790</v>
      </c>
      <c r="R231" s="259">
        <v>50633</v>
      </c>
      <c r="S231" s="257">
        <v>53056</v>
      </c>
      <c r="T231" s="257">
        <v>50553</v>
      </c>
      <c r="U231" s="257">
        <v>50291</v>
      </c>
      <c r="V231" s="257">
        <v>50960</v>
      </c>
      <c r="W231" s="257">
        <v>52653</v>
      </c>
      <c r="X231" s="257">
        <v>47011</v>
      </c>
      <c r="Y231" s="257">
        <v>43319</v>
      </c>
      <c r="Z231" s="257">
        <v>36901</v>
      </c>
    </row>
    <row r="232" spans="2:26">
      <c r="B232" s="38" t="s">
        <v>341</v>
      </c>
      <c r="C232" s="50">
        <v>1056505</v>
      </c>
      <c r="D232" s="50">
        <v>831111</v>
      </c>
      <c r="E232" s="50">
        <v>810693</v>
      </c>
      <c r="F232" s="50">
        <v>769433</v>
      </c>
      <c r="G232" s="50">
        <v>710377</v>
      </c>
      <c r="H232" s="50">
        <v>735689</v>
      </c>
      <c r="I232" s="50">
        <v>757847</v>
      </c>
      <c r="J232" s="50">
        <v>721825</v>
      </c>
      <c r="K232" s="50">
        <v>660889</v>
      </c>
      <c r="L232" s="259">
        <v>686732</v>
      </c>
      <c r="M232" s="50">
        <v>713361</v>
      </c>
      <c r="N232" s="50">
        <v>1005975</v>
      </c>
      <c r="O232" s="50">
        <v>1074349</v>
      </c>
      <c r="P232" s="259">
        <v>913557</v>
      </c>
      <c r="Q232" s="259">
        <v>868910</v>
      </c>
      <c r="R232" s="259">
        <v>786903</v>
      </c>
      <c r="S232" s="257">
        <v>825416</v>
      </c>
      <c r="T232" s="257">
        <v>899825</v>
      </c>
      <c r="U232" s="257">
        <v>896426</v>
      </c>
      <c r="V232" s="257">
        <v>913961</v>
      </c>
      <c r="W232" s="257">
        <v>872940</v>
      </c>
      <c r="X232" s="257">
        <v>1081435</v>
      </c>
      <c r="Y232" s="257">
        <v>1050684</v>
      </c>
      <c r="Z232" s="257">
        <v>1014622</v>
      </c>
    </row>
    <row r="233" spans="2:26">
      <c r="B233" s="38" t="s">
        <v>340</v>
      </c>
      <c r="C233" s="50">
        <v>32510</v>
      </c>
      <c r="D233" s="50">
        <v>54250</v>
      </c>
      <c r="E233" s="50">
        <v>40848</v>
      </c>
      <c r="F233" s="50">
        <v>42962</v>
      </c>
      <c r="G233" s="50">
        <v>34827</v>
      </c>
      <c r="H233" s="50">
        <v>35925</v>
      </c>
      <c r="I233" s="50">
        <v>39380</v>
      </c>
      <c r="J233" s="50">
        <v>37756</v>
      </c>
      <c r="K233" s="50">
        <v>41836</v>
      </c>
      <c r="L233" s="259">
        <v>41236</v>
      </c>
      <c r="M233" s="50">
        <v>34179</v>
      </c>
      <c r="N233" s="50">
        <v>40742</v>
      </c>
      <c r="O233" s="50">
        <v>42419</v>
      </c>
      <c r="P233" s="259">
        <v>48065</v>
      </c>
      <c r="Q233" s="259">
        <v>50331</v>
      </c>
      <c r="R233" s="259">
        <v>50036</v>
      </c>
      <c r="S233" s="257">
        <v>35141</v>
      </c>
      <c r="T233" s="257">
        <v>25559</v>
      </c>
      <c r="U233" s="257">
        <v>22461</v>
      </c>
      <c r="V233" s="257">
        <v>20532</v>
      </c>
      <c r="W233" s="257">
        <v>24671</v>
      </c>
      <c r="X233" s="257">
        <v>28142</v>
      </c>
      <c r="Y233" s="257">
        <v>31151</v>
      </c>
      <c r="Z233" s="257">
        <v>31283</v>
      </c>
    </row>
    <row r="234" spans="2:26">
      <c r="B234" s="38" t="s">
        <v>280</v>
      </c>
      <c r="C234" s="50">
        <v>153035</v>
      </c>
      <c r="D234" s="50">
        <v>121553</v>
      </c>
      <c r="E234" s="50">
        <v>125321</v>
      </c>
      <c r="F234" s="50">
        <v>113686</v>
      </c>
      <c r="G234" s="50">
        <v>102672</v>
      </c>
      <c r="H234" s="50">
        <v>90708</v>
      </c>
      <c r="I234" s="50">
        <v>91036</v>
      </c>
      <c r="J234" s="50">
        <v>92755</v>
      </c>
      <c r="K234" s="50">
        <v>86780</v>
      </c>
      <c r="L234" s="259">
        <v>62367</v>
      </c>
      <c r="M234" s="50">
        <v>59509</v>
      </c>
      <c r="N234" s="50">
        <v>58816</v>
      </c>
      <c r="O234" s="50">
        <v>57993</v>
      </c>
      <c r="P234" s="259">
        <v>85736</v>
      </c>
      <c r="Q234" s="259">
        <v>126098</v>
      </c>
      <c r="R234" s="259">
        <v>116409</v>
      </c>
      <c r="S234" s="257">
        <v>111585</v>
      </c>
      <c r="T234" s="257">
        <v>119407</v>
      </c>
      <c r="U234" s="257">
        <v>120263</v>
      </c>
      <c r="V234" s="257">
        <v>117193</v>
      </c>
      <c r="W234" s="257">
        <v>116233</v>
      </c>
      <c r="X234" s="257">
        <v>135617</v>
      </c>
      <c r="Y234" s="257">
        <v>136965</v>
      </c>
      <c r="Z234" s="257">
        <v>118684</v>
      </c>
    </row>
    <row r="235" spans="2:26" ht="14.4" customHeight="1">
      <c r="B235" s="38" t="s">
        <v>281</v>
      </c>
      <c r="C235" s="50">
        <v>0</v>
      </c>
      <c r="D235" s="50">
        <v>0</v>
      </c>
      <c r="E235" s="50">
        <v>0</v>
      </c>
      <c r="F235" s="50">
        <v>0</v>
      </c>
      <c r="G235" s="50">
        <v>0</v>
      </c>
      <c r="H235" s="50">
        <v>0</v>
      </c>
      <c r="I235" s="50">
        <v>0</v>
      </c>
      <c r="J235" s="50">
        <v>17853</v>
      </c>
      <c r="K235" s="50">
        <v>0</v>
      </c>
      <c r="L235" s="259">
        <v>16612</v>
      </c>
      <c r="M235" s="50">
        <v>15992</v>
      </c>
      <c r="N235" s="50">
        <v>15372</v>
      </c>
      <c r="O235" s="50">
        <v>14752</v>
      </c>
      <c r="P235" s="259">
        <v>14132</v>
      </c>
      <c r="Q235" s="259">
        <v>13512</v>
      </c>
      <c r="R235" s="259">
        <v>12892</v>
      </c>
      <c r="S235" s="257">
        <v>12272</v>
      </c>
      <c r="T235" s="257">
        <v>11652</v>
      </c>
      <c r="U235" s="257">
        <v>0</v>
      </c>
      <c r="V235" s="257">
        <v>0</v>
      </c>
      <c r="W235" s="257">
        <v>0</v>
      </c>
      <c r="X235" s="257">
        <v>0</v>
      </c>
      <c r="Y235" s="257">
        <v>0</v>
      </c>
      <c r="Z235" s="257">
        <v>0</v>
      </c>
    </row>
    <row r="236" spans="2:26">
      <c r="B236" s="38" t="s">
        <v>348</v>
      </c>
      <c r="C236" s="50">
        <v>0</v>
      </c>
      <c r="D236" s="50">
        <v>0</v>
      </c>
      <c r="E236" s="50">
        <v>0</v>
      </c>
      <c r="F236" s="50">
        <v>0</v>
      </c>
      <c r="G236" s="50">
        <v>333844</v>
      </c>
      <c r="H236" s="50">
        <v>0</v>
      </c>
      <c r="I236" s="50">
        <v>0</v>
      </c>
      <c r="J236" s="50">
        <v>363061</v>
      </c>
      <c r="K236" s="50">
        <v>0</v>
      </c>
      <c r="L236" s="259">
        <v>351904</v>
      </c>
      <c r="M236" s="50">
        <v>388616</v>
      </c>
      <c r="N236" s="50">
        <v>383471</v>
      </c>
      <c r="O236" s="50">
        <v>383984</v>
      </c>
      <c r="P236" s="259">
        <v>380135</v>
      </c>
      <c r="Q236" s="259">
        <v>397485</v>
      </c>
      <c r="R236" s="259">
        <v>393236</v>
      </c>
      <c r="S236" s="257">
        <v>389131</v>
      </c>
      <c r="T236" s="257">
        <v>384980</v>
      </c>
      <c r="U236" s="257">
        <v>469256</v>
      </c>
      <c r="V236" s="257">
        <v>469324</v>
      </c>
      <c r="W236" s="257">
        <v>484907</v>
      </c>
      <c r="X236" s="257">
        <v>492633</v>
      </c>
      <c r="Y236" s="257">
        <v>523154</v>
      </c>
      <c r="Z236" s="257">
        <v>683141</v>
      </c>
    </row>
    <row r="237" spans="2:26" ht="24" customHeight="1">
      <c r="B237" s="38" t="s">
        <v>349</v>
      </c>
      <c r="C237" s="50">
        <v>24053</v>
      </c>
      <c r="D237" s="50">
        <v>24053</v>
      </c>
      <c r="E237" s="50">
        <v>318578</v>
      </c>
      <c r="F237" s="50">
        <v>320021</v>
      </c>
      <c r="G237" s="50">
        <v>20333</v>
      </c>
      <c r="H237" s="50">
        <v>0</v>
      </c>
      <c r="I237" s="50">
        <v>0</v>
      </c>
      <c r="J237" s="50">
        <v>0</v>
      </c>
      <c r="K237" s="50">
        <v>0</v>
      </c>
      <c r="L237" s="259">
        <v>0</v>
      </c>
      <c r="M237" s="50">
        <v>0</v>
      </c>
      <c r="N237" s="50">
        <v>0</v>
      </c>
      <c r="O237" s="50">
        <v>0</v>
      </c>
      <c r="P237" s="257" t="s">
        <v>214</v>
      </c>
      <c r="Q237" s="257" t="s">
        <v>214</v>
      </c>
      <c r="R237" s="257" t="s">
        <v>214</v>
      </c>
      <c r="S237" s="257" t="s">
        <v>214</v>
      </c>
      <c r="T237" s="257">
        <v>0</v>
      </c>
      <c r="U237" s="257">
        <v>0</v>
      </c>
      <c r="V237" s="257">
        <v>0</v>
      </c>
      <c r="W237" s="257">
        <v>0</v>
      </c>
      <c r="X237" s="257">
        <v>0</v>
      </c>
      <c r="Y237" s="257">
        <v>0</v>
      </c>
      <c r="Z237" s="257">
        <v>0</v>
      </c>
    </row>
    <row r="238" spans="2:26">
      <c r="B238" s="38" t="s">
        <v>249</v>
      </c>
      <c r="C238" s="50">
        <v>0</v>
      </c>
      <c r="D238" s="50">
        <v>327579</v>
      </c>
      <c r="E238" s="50">
        <v>27455</v>
      </c>
      <c r="F238" s="50">
        <v>53841</v>
      </c>
      <c r="G238" s="50">
        <v>34532</v>
      </c>
      <c r="H238" s="50">
        <v>385101</v>
      </c>
      <c r="I238" s="50">
        <v>381705</v>
      </c>
      <c r="J238" s="50">
        <v>34572</v>
      </c>
      <c r="K238" s="50">
        <v>407469</v>
      </c>
      <c r="L238" s="259">
        <v>35652</v>
      </c>
      <c r="M238" s="50">
        <v>46714</v>
      </c>
      <c r="N238" s="50">
        <v>48201</v>
      </c>
      <c r="O238" s="50">
        <v>53134</v>
      </c>
      <c r="P238" s="259">
        <v>54032</v>
      </c>
      <c r="Q238" s="259">
        <v>11973</v>
      </c>
      <c r="R238" s="257">
        <v>12103</v>
      </c>
      <c r="S238" s="257">
        <v>12232</v>
      </c>
      <c r="T238" s="257">
        <v>3981</v>
      </c>
      <c r="U238" s="257">
        <v>4446</v>
      </c>
      <c r="V238" s="257">
        <v>4555</v>
      </c>
      <c r="W238" s="257">
        <v>2672</v>
      </c>
      <c r="X238" s="257">
        <v>9757</v>
      </c>
      <c r="Y238" s="257">
        <v>11464</v>
      </c>
      <c r="Z238" s="257">
        <v>3209</v>
      </c>
    </row>
    <row r="239" spans="2:26">
      <c r="B239" s="227"/>
      <c r="C239" s="52">
        <f t="shared" ref="C239:N239" si="88">SUM(C224:C238)</f>
        <v>2132363</v>
      </c>
      <c r="D239" s="52">
        <f t="shared" si="88"/>
        <v>2850094</v>
      </c>
      <c r="E239" s="52">
        <f t="shared" si="88"/>
        <v>2806281</v>
      </c>
      <c r="F239" s="52">
        <f t="shared" si="88"/>
        <v>3377243</v>
      </c>
      <c r="G239" s="52">
        <f t="shared" si="88"/>
        <v>3932724</v>
      </c>
      <c r="H239" s="52">
        <f t="shared" si="88"/>
        <v>3904616</v>
      </c>
      <c r="I239" s="52">
        <f t="shared" si="88"/>
        <v>4001214</v>
      </c>
      <c r="J239" s="52">
        <f t="shared" si="88"/>
        <v>4010245</v>
      </c>
      <c r="K239" s="52">
        <f t="shared" si="88"/>
        <v>3337774</v>
      </c>
      <c r="L239" s="228">
        <f t="shared" si="88"/>
        <v>3361158</v>
      </c>
      <c r="M239" s="52">
        <f t="shared" si="88"/>
        <v>3432621</v>
      </c>
      <c r="N239" s="52">
        <f t="shared" si="88"/>
        <v>4429052</v>
      </c>
      <c r="O239" s="52">
        <f>SUM(O224:O238)</f>
        <v>4324113</v>
      </c>
      <c r="P239" s="260">
        <f>SUM(P224:P238)</f>
        <v>6118737</v>
      </c>
      <c r="Q239" s="260">
        <f>SUM(Q224:Q238)</f>
        <v>6775420</v>
      </c>
      <c r="R239" s="260">
        <f>SUM(R224:R238)</f>
        <v>7273175</v>
      </c>
      <c r="S239" s="260">
        <f t="shared" ref="S239:T239" si="89">SUM(S224:S238)</f>
        <v>7399466</v>
      </c>
      <c r="T239" s="260">
        <f t="shared" si="89"/>
        <v>8526582</v>
      </c>
      <c r="U239" s="260">
        <v>8992377</v>
      </c>
      <c r="V239" s="260">
        <v>9888473</v>
      </c>
      <c r="W239" s="260">
        <v>9912074</v>
      </c>
      <c r="X239" s="260">
        <f t="shared" ref="X239:Y239" si="90">SUM(X224:X238)</f>
        <v>9819730</v>
      </c>
      <c r="Y239" s="260">
        <f t="shared" si="90"/>
        <v>10095753</v>
      </c>
      <c r="Z239" s="735">
        <v>8779631</v>
      </c>
    </row>
    <row r="240" spans="2:26">
      <c r="B240" s="242"/>
      <c r="C240" s="243"/>
      <c r="D240" s="243"/>
      <c r="E240" s="243"/>
      <c r="F240" s="243"/>
      <c r="G240" s="243"/>
      <c r="H240" s="243"/>
      <c r="I240" s="243"/>
      <c r="J240" s="243"/>
      <c r="K240" s="243"/>
      <c r="L240" s="479"/>
      <c r="M240" s="243"/>
      <c r="N240" s="243"/>
      <c r="O240" s="243"/>
      <c r="P240" s="265"/>
      <c r="Q240" s="265"/>
      <c r="R240" s="265"/>
      <c r="S240" s="265"/>
      <c r="T240" s="265"/>
      <c r="X240" s="265"/>
      <c r="Y240" s="265"/>
      <c r="Z240" s="265"/>
    </row>
    <row r="241" spans="2:26">
      <c r="B241" s="38" t="s">
        <v>350</v>
      </c>
      <c r="C241" s="50">
        <v>178733</v>
      </c>
      <c r="D241" s="50">
        <v>214939</v>
      </c>
      <c r="E241" s="50">
        <v>201431</v>
      </c>
      <c r="F241" s="50">
        <v>212706</v>
      </c>
      <c r="G241" s="50">
        <v>226286</v>
      </c>
      <c r="H241" s="50">
        <v>230878</v>
      </c>
      <c r="I241" s="50">
        <v>282713</v>
      </c>
      <c r="J241" s="50">
        <v>287177</v>
      </c>
      <c r="K241" s="50">
        <v>273453</v>
      </c>
      <c r="L241" s="259">
        <v>1967288</v>
      </c>
      <c r="M241" s="50">
        <v>502442</v>
      </c>
      <c r="N241" s="50">
        <v>369210</v>
      </c>
      <c r="O241" s="50">
        <v>327872</v>
      </c>
      <c r="P241" s="257">
        <v>371159</v>
      </c>
      <c r="Q241" s="257">
        <v>355926</v>
      </c>
      <c r="R241" s="257">
        <v>348109</v>
      </c>
      <c r="S241" s="257">
        <v>390121</v>
      </c>
      <c r="T241" s="257">
        <v>393529</v>
      </c>
      <c r="U241" s="257">
        <v>409853</v>
      </c>
      <c r="V241" s="257">
        <v>434085</v>
      </c>
      <c r="W241" s="257">
        <v>499150</v>
      </c>
      <c r="X241" s="257">
        <v>359029</v>
      </c>
      <c r="Y241" s="257">
        <v>278162</v>
      </c>
      <c r="Z241" s="257">
        <v>416121</v>
      </c>
    </row>
    <row r="242" spans="2:26">
      <c r="B242" s="469"/>
      <c r="C242" s="470"/>
      <c r="D242" s="470"/>
      <c r="E242" s="470"/>
      <c r="F242" s="470"/>
      <c r="G242" s="470"/>
      <c r="H242" s="470"/>
      <c r="I242" s="470"/>
      <c r="J242" s="469"/>
      <c r="K242" s="470"/>
      <c r="L242" s="480"/>
      <c r="M242" s="470"/>
      <c r="N242" s="470"/>
      <c r="O242" s="470"/>
      <c r="P242" s="471"/>
      <c r="Q242" s="471"/>
      <c r="R242" s="471"/>
      <c r="S242" s="471"/>
      <c r="T242" s="471"/>
      <c r="U242" s="471"/>
      <c r="V242" s="471">
        <v>0</v>
      </c>
      <c r="W242" s="471">
        <v>0</v>
      </c>
      <c r="X242" s="471"/>
      <c r="Y242" s="471"/>
      <c r="Z242" s="471"/>
    </row>
    <row r="243" spans="2:26">
      <c r="B243" s="229" t="s">
        <v>351</v>
      </c>
      <c r="C243" s="51"/>
      <c r="D243" s="51"/>
      <c r="E243" s="51"/>
      <c r="F243" s="229"/>
      <c r="G243" s="51"/>
      <c r="H243" s="51"/>
      <c r="I243" s="51"/>
      <c r="J243" s="51"/>
      <c r="K243" s="51"/>
      <c r="L243" s="451"/>
      <c r="M243" s="51"/>
      <c r="N243" s="51"/>
      <c r="O243" s="51"/>
      <c r="P243" s="261"/>
      <c r="Q243" s="261"/>
      <c r="R243" s="261"/>
      <c r="S243" s="261"/>
      <c r="T243" s="261"/>
      <c r="U243" s="261"/>
      <c r="V243" s="261">
        <v>0</v>
      </c>
      <c r="W243" s="261">
        <v>0</v>
      </c>
      <c r="X243" s="261"/>
      <c r="Y243" s="261"/>
      <c r="Z243" s="261"/>
    </row>
    <row r="244" spans="2:26">
      <c r="B244" s="38" t="s">
        <v>352</v>
      </c>
      <c r="C244" s="50">
        <v>2372437</v>
      </c>
      <c r="D244" s="50">
        <v>3590020</v>
      </c>
      <c r="E244" s="50">
        <v>3590020</v>
      </c>
      <c r="F244" s="50">
        <v>3590020</v>
      </c>
      <c r="G244" s="50">
        <v>3590020</v>
      </c>
      <c r="H244" s="50">
        <v>3590020</v>
      </c>
      <c r="I244" s="50">
        <v>3590020</v>
      </c>
      <c r="J244" s="50">
        <v>3590020</v>
      </c>
      <c r="K244" s="50">
        <v>3590020</v>
      </c>
      <c r="L244" s="259">
        <v>3590020</v>
      </c>
      <c r="M244" s="50">
        <v>3590020</v>
      </c>
      <c r="N244" s="50">
        <v>3590020</v>
      </c>
      <c r="O244" s="50">
        <v>3590020</v>
      </c>
      <c r="P244" s="257">
        <v>3590020</v>
      </c>
      <c r="Q244" s="257">
        <v>3590020</v>
      </c>
      <c r="R244" s="257">
        <v>3590020</v>
      </c>
      <c r="S244" s="257">
        <v>3590020</v>
      </c>
      <c r="T244" s="257">
        <v>3590020</v>
      </c>
      <c r="U244" s="257">
        <v>3590020</v>
      </c>
      <c r="V244" s="257">
        <v>3590020</v>
      </c>
      <c r="W244" s="257">
        <v>3590020</v>
      </c>
      <c r="X244" s="257">
        <v>3590020</v>
      </c>
      <c r="Y244" s="257">
        <v>3590020</v>
      </c>
      <c r="Z244" s="257">
        <v>3590020</v>
      </c>
    </row>
    <row r="245" spans="2:26">
      <c r="B245" s="38" t="s">
        <v>285</v>
      </c>
      <c r="C245" s="50">
        <v>1217583</v>
      </c>
      <c r="D245" s="50">
        <v>666</v>
      </c>
      <c r="E245" s="50">
        <v>666</v>
      </c>
      <c r="F245" s="50">
        <v>666</v>
      </c>
      <c r="G245" s="50">
        <v>666</v>
      </c>
      <c r="H245" s="50">
        <v>666</v>
      </c>
      <c r="I245" s="50">
        <v>666</v>
      </c>
      <c r="J245" s="50">
        <v>666</v>
      </c>
      <c r="K245" s="50">
        <v>666</v>
      </c>
      <c r="L245" s="259">
        <v>666</v>
      </c>
      <c r="M245" s="50">
        <v>666</v>
      </c>
      <c r="N245" s="50">
        <v>666</v>
      </c>
      <c r="O245" s="50">
        <v>666</v>
      </c>
      <c r="P245" s="257">
        <v>-18380</v>
      </c>
      <c r="Q245" s="257">
        <v>-18380</v>
      </c>
      <c r="R245" s="257">
        <v>-18380</v>
      </c>
      <c r="S245" s="257">
        <v>-18380</v>
      </c>
      <c r="T245" s="257">
        <v>-18380</v>
      </c>
      <c r="U245" s="257">
        <v>666</v>
      </c>
      <c r="V245" s="257">
        <v>666</v>
      </c>
      <c r="W245" s="257">
        <v>666</v>
      </c>
      <c r="X245" s="257">
        <v>666</v>
      </c>
      <c r="Y245" s="257">
        <v>666</v>
      </c>
      <c r="Z245" s="257">
        <v>666</v>
      </c>
    </row>
    <row r="246" spans="2:26">
      <c r="B246" s="38" t="s">
        <v>353</v>
      </c>
      <c r="C246" s="50">
        <v>1127814</v>
      </c>
      <c r="D246" s="50">
        <v>1265967</v>
      </c>
      <c r="E246" s="50">
        <v>1402336</v>
      </c>
      <c r="F246" s="50">
        <v>557337</v>
      </c>
      <c r="G246" s="50">
        <v>557337</v>
      </c>
      <c r="H246" s="50">
        <v>760451</v>
      </c>
      <c r="I246" s="50">
        <v>760451</v>
      </c>
      <c r="J246" s="50">
        <v>760451</v>
      </c>
      <c r="K246" s="50">
        <v>760451</v>
      </c>
      <c r="L246" s="259">
        <v>1192078</v>
      </c>
      <c r="M246" s="50">
        <v>1192078</v>
      </c>
      <c r="N246" s="50">
        <v>1192078</v>
      </c>
      <c r="O246" s="50">
        <v>1192078</v>
      </c>
      <c r="P246" s="257">
        <v>1192077</v>
      </c>
      <c r="Q246" s="257">
        <v>5137515</v>
      </c>
      <c r="R246" s="257">
        <v>1336956</v>
      </c>
      <c r="S246" s="257">
        <v>5137515</v>
      </c>
      <c r="T246" s="257">
        <v>5137515</v>
      </c>
      <c r="U246" s="257">
        <v>1178494</v>
      </c>
      <c r="V246" s="257">
        <v>1284848</v>
      </c>
      <c r="W246" s="257">
        <v>1720552</v>
      </c>
      <c r="X246" s="257">
        <v>1431973</v>
      </c>
      <c r="Y246" s="257">
        <v>1787220</v>
      </c>
      <c r="Z246" s="257">
        <v>2095898</v>
      </c>
    </row>
    <row r="247" spans="2:26">
      <c r="B247" s="38" t="s">
        <v>354</v>
      </c>
      <c r="C247" s="50">
        <v>2264451</v>
      </c>
      <c r="D247" s="50">
        <v>2301266</v>
      </c>
      <c r="E247" s="50">
        <v>2249590</v>
      </c>
      <c r="F247" s="50">
        <v>2198516</v>
      </c>
      <c r="G247" s="50">
        <v>2148216</v>
      </c>
      <c r="H247" s="50">
        <v>2103510</v>
      </c>
      <c r="I247" s="50">
        <v>2047987</v>
      </c>
      <c r="J247" s="50">
        <v>1999817</v>
      </c>
      <c r="K247" s="50">
        <v>1949526</v>
      </c>
      <c r="L247" s="259">
        <v>1899993</v>
      </c>
      <c r="M247" s="50">
        <v>1844193</v>
      </c>
      <c r="N247" s="50">
        <v>1796207</v>
      </c>
      <c r="O247" s="50">
        <v>2162054</v>
      </c>
      <c r="P247" s="257">
        <v>2136052</v>
      </c>
      <c r="Q247" s="257">
        <v>2083781</v>
      </c>
      <c r="R247" s="257">
        <v>2028941</v>
      </c>
      <c r="S247" s="257">
        <v>1979327</v>
      </c>
      <c r="T247" s="257">
        <v>1929412</v>
      </c>
      <c r="U247" s="257">
        <v>1966378</v>
      </c>
      <c r="V247" s="257">
        <v>1920133</v>
      </c>
      <c r="W247" s="257">
        <v>1871156</v>
      </c>
      <c r="X247" s="257">
        <v>1823292</v>
      </c>
      <c r="Y247" s="257">
        <v>1774101</v>
      </c>
      <c r="Z247" s="257">
        <v>1726626</v>
      </c>
    </row>
    <row r="248" spans="2:26">
      <c r="B248" s="38" t="s">
        <v>355</v>
      </c>
      <c r="C248" s="50"/>
      <c r="D248" s="50"/>
      <c r="E248" s="50"/>
      <c r="F248" s="50"/>
      <c r="G248" s="50"/>
      <c r="H248" s="50"/>
      <c r="I248" s="50"/>
      <c r="J248" s="50"/>
      <c r="K248" s="50"/>
      <c r="L248" s="257" t="s">
        <v>214</v>
      </c>
      <c r="M248" s="257" t="s">
        <v>214</v>
      </c>
      <c r="N248" s="257" t="s">
        <v>214</v>
      </c>
      <c r="O248" s="257" t="s">
        <v>214</v>
      </c>
      <c r="P248" s="257">
        <v>-364659</v>
      </c>
      <c r="Q248" s="257">
        <v>-364659</v>
      </c>
      <c r="R248" s="257">
        <v>-240676</v>
      </c>
      <c r="S248" s="257">
        <v>-240676</v>
      </c>
      <c r="T248" s="257">
        <v>-401268</v>
      </c>
      <c r="U248" s="257">
        <v>0</v>
      </c>
      <c r="V248" s="257">
        <v>0</v>
      </c>
      <c r="W248" s="257">
        <v>0</v>
      </c>
      <c r="X248" s="257">
        <v>0</v>
      </c>
      <c r="Y248" s="257">
        <v>0</v>
      </c>
      <c r="Z248" s="257">
        <v>0</v>
      </c>
    </row>
    <row r="249" spans="2:26">
      <c r="B249" s="38" t="s">
        <v>356</v>
      </c>
      <c r="C249" s="50">
        <v>0</v>
      </c>
      <c r="D249" s="50">
        <v>0</v>
      </c>
      <c r="E249" s="50">
        <v>0</v>
      </c>
      <c r="F249" s="50">
        <v>0</v>
      </c>
      <c r="G249" s="50">
        <v>0</v>
      </c>
      <c r="H249" s="50">
        <v>73192</v>
      </c>
      <c r="I249" s="50">
        <v>73389</v>
      </c>
      <c r="J249" s="50">
        <v>70369</v>
      </c>
      <c r="K249" s="50">
        <v>77405</v>
      </c>
      <c r="L249" s="259">
        <v>31191</v>
      </c>
      <c r="M249" s="50">
        <v>63630</v>
      </c>
      <c r="N249" s="50">
        <v>62841</v>
      </c>
      <c r="O249" s="50">
        <v>53225</v>
      </c>
      <c r="P249" s="257">
        <v>140114</v>
      </c>
      <c r="Q249" s="257">
        <v>166602</v>
      </c>
      <c r="R249" s="257">
        <v>17481</v>
      </c>
      <c r="S249" s="257">
        <v>32053</v>
      </c>
      <c r="T249" s="257">
        <v>163890</v>
      </c>
      <c r="U249" s="257">
        <v>-283178</v>
      </c>
      <c r="V249" s="257">
        <v>-277910</v>
      </c>
      <c r="W249" s="257">
        <v>-282626</v>
      </c>
      <c r="X249" s="257">
        <v>-21376</v>
      </c>
      <c r="Y249" s="257">
        <v>-27626</v>
      </c>
      <c r="Z249" s="257">
        <v>-41961</v>
      </c>
    </row>
    <row r="250" spans="2:26">
      <c r="B250" s="38" t="s">
        <v>357</v>
      </c>
      <c r="C250" s="50">
        <v>666</v>
      </c>
      <c r="D250" s="50">
        <v>0</v>
      </c>
      <c r="E250" s="50">
        <v>0</v>
      </c>
      <c r="F250" s="50">
        <v>0</v>
      </c>
      <c r="G250" s="50">
        <v>0</v>
      </c>
      <c r="H250" s="50">
        <v>0</v>
      </c>
      <c r="I250" s="50">
        <v>0</v>
      </c>
      <c r="J250" s="50">
        <v>0</v>
      </c>
      <c r="K250" s="50">
        <v>0</v>
      </c>
      <c r="L250" s="259">
        <v>0</v>
      </c>
      <c r="M250" s="50">
        <v>0</v>
      </c>
      <c r="N250" s="50">
        <v>0</v>
      </c>
      <c r="O250" s="50">
        <v>0</v>
      </c>
      <c r="P250" s="257">
        <v>0</v>
      </c>
      <c r="Q250" s="257">
        <v>0</v>
      </c>
      <c r="R250" s="257">
        <v>0</v>
      </c>
      <c r="S250" s="257">
        <v>0</v>
      </c>
      <c r="T250" s="257">
        <v>0</v>
      </c>
      <c r="U250" s="257">
        <v>0</v>
      </c>
      <c r="V250" s="257">
        <v>0</v>
      </c>
      <c r="W250" s="257">
        <v>0</v>
      </c>
      <c r="X250" s="257">
        <v>0</v>
      </c>
      <c r="Y250" s="257">
        <v>0</v>
      </c>
      <c r="Z250" s="257">
        <v>0</v>
      </c>
    </row>
    <row r="251" spans="2:26">
      <c r="B251" s="38" t="s">
        <v>358</v>
      </c>
      <c r="C251" s="50">
        <v>0</v>
      </c>
      <c r="D251" s="50">
        <v>0</v>
      </c>
      <c r="E251" s="50">
        <v>301805</v>
      </c>
      <c r="F251" s="50">
        <v>692337</v>
      </c>
      <c r="G251" s="50">
        <v>930754</v>
      </c>
      <c r="H251" s="50">
        <v>0</v>
      </c>
      <c r="I251" s="50">
        <v>285711</v>
      </c>
      <c r="J251" s="50">
        <v>572057</v>
      </c>
      <c r="K251" s="50">
        <v>661539</v>
      </c>
      <c r="L251" s="259">
        <v>0</v>
      </c>
      <c r="M251" s="50">
        <v>364465</v>
      </c>
      <c r="N251" s="50">
        <v>1181218</v>
      </c>
      <c r="O251" s="50">
        <v>1528809</v>
      </c>
      <c r="P251" s="257">
        <v>1085973</v>
      </c>
      <c r="Q251" s="257">
        <v>-3551375</v>
      </c>
      <c r="R251" s="257">
        <v>556234</v>
      </c>
      <c r="S251" s="257">
        <v>-3330935</v>
      </c>
      <c r="T251" s="257">
        <v>-4122138</v>
      </c>
      <c r="U251" s="257">
        <v>0</v>
      </c>
      <c r="V251" s="257">
        <v>0</v>
      </c>
      <c r="W251" s="257">
        <v>0</v>
      </c>
      <c r="X251" s="257">
        <v>0</v>
      </c>
      <c r="Y251" s="257">
        <v>0</v>
      </c>
      <c r="Z251" s="257">
        <v>0</v>
      </c>
    </row>
    <row r="252" spans="2:26">
      <c r="B252" s="38" t="s">
        <v>359</v>
      </c>
      <c r="C252" s="50">
        <v>0</v>
      </c>
      <c r="D252" s="50">
        <v>84693</v>
      </c>
      <c r="E252" s="50">
        <v>0</v>
      </c>
      <c r="F252" s="50">
        <v>0</v>
      </c>
      <c r="G252" s="50">
        <v>0</v>
      </c>
      <c r="H252" s="50">
        <v>0</v>
      </c>
      <c r="I252" s="50">
        <v>0</v>
      </c>
      <c r="J252" s="50">
        <v>0</v>
      </c>
      <c r="K252" s="50">
        <v>0</v>
      </c>
      <c r="L252" s="259">
        <v>0</v>
      </c>
      <c r="M252" s="50">
        <v>0</v>
      </c>
      <c r="N252" s="50">
        <v>0</v>
      </c>
      <c r="O252" s="50">
        <v>0</v>
      </c>
      <c r="P252" s="257" t="s">
        <v>214</v>
      </c>
      <c r="Q252" s="257" t="s">
        <v>214</v>
      </c>
      <c r="R252" s="257" t="s">
        <v>214</v>
      </c>
      <c r="S252" s="257" t="s">
        <v>214</v>
      </c>
      <c r="T252" s="257" t="s">
        <v>214</v>
      </c>
      <c r="U252" s="257">
        <v>0</v>
      </c>
      <c r="V252" s="257">
        <v>0</v>
      </c>
      <c r="W252" s="257">
        <v>0</v>
      </c>
      <c r="X252" s="257">
        <v>0</v>
      </c>
      <c r="Y252" s="257">
        <v>0</v>
      </c>
      <c r="Z252" s="257">
        <v>0</v>
      </c>
    </row>
    <row r="253" spans="2:26">
      <c r="B253" s="227" t="s">
        <v>360</v>
      </c>
      <c r="C253" s="477">
        <f>SUM(C244:C252)</f>
        <v>6982951</v>
      </c>
      <c r="D253" s="477">
        <f t="shared" ref="D253:R253" si="91">SUM(D244:D252)</f>
        <v>7242612</v>
      </c>
      <c r="E253" s="477">
        <f t="shared" si="91"/>
        <v>7544417</v>
      </c>
      <c r="F253" s="477">
        <f t="shared" si="91"/>
        <v>7038876</v>
      </c>
      <c r="G253" s="477">
        <f t="shared" si="91"/>
        <v>7226993</v>
      </c>
      <c r="H253" s="477">
        <f t="shared" si="91"/>
        <v>6527839</v>
      </c>
      <c r="I253" s="477">
        <f t="shared" si="91"/>
        <v>6758224</v>
      </c>
      <c r="J253" s="477">
        <f t="shared" si="91"/>
        <v>6993380</v>
      </c>
      <c r="K253" s="477">
        <f t="shared" si="91"/>
        <v>7039607</v>
      </c>
      <c r="L253" s="260">
        <f t="shared" si="91"/>
        <v>6713948</v>
      </c>
      <c r="M253" s="477">
        <f t="shared" si="91"/>
        <v>7055052</v>
      </c>
      <c r="N253" s="477">
        <f t="shared" si="91"/>
        <v>7823030</v>
      </c>
      <c r="O253" s="477">
        <f t="shared" si="91"/>
        <v>8526852</v>
      </c>
      <c r="P253" s="260">
        <f t="shared" si="91"/>
        <v>7761197</v>
      </c>
      <c r="Q253" s="260">
        <f t="shared" si="91"/>
        <v>7043504</v>
      </c>
      <c r="R253" s="260">
        <f t="shared" si="91"/>
        <v>7270576</v>
      </c>
      <c r="S253" s="260">
        <f>SUM(S244:S252)</f>
        <v>7148924</v>
      </c>
      <c r="T253" s="260">
        <f>SUM(T244:T252)</f>
        <v>6279051</v>
      </c>
      <c r="U253" s="260">
        <v>6452380</v>
      </c>
      <c r="V253" s="260">
        <v>6517757</v>
      </c>
      <c r="W253" s="260">
        <v>6899768</v>
      </c>
      <c r="X253" s="260">
        <f>SUM(X244:X252)</f>
        <v>6824575</v>
      </c>
      <c r="Y253" s="260">
        <f>SUM(Y244:Y252)</f>
        <v>7124381</v>
      </c>
      <c r="Z253" s="735">
        <v>7371249</v>
      </c>
    </row>
    <row r="254" spans="2:26">
      <c r="B254" s="227" t="s">
        <v>361</v>
      </c>
      <c r="C254" s="477">
        <f t="shared" ref="C254:T254" si="92">SUM(C253+C241+C239+C221)</f>
        <v>9901001</v>
      </c>
      <c r="D254" s="477">
        <f t="shared" si="92"/>
        <v>11096749</v>
      </c>
      <c r="E254" s="477">
        <f t="shared" si="92"/>
        <v>11397895</v>
      </c>
      <c r="F254" s="477">
        <f t="shared" si="92"/>
        <v>11653204</v>
      </c>
      <c r="G254" s="477">
        <f t="shared" si="92"/>
        <v>12395764</v>
      </c>
      <c r="H254" s="477">
        <f t="shared" si="92"/>
        <v>11290031</v>
      </c>
      <c r="I254" s="477">
        <f t="shared" si="92"/>
        <v>11755598</v>
      </c>
      <c r="J254" s="477">
        <f t="shared" si="92"/>
        <v>12162325</v>
      </c>
      <c r="K254" s="477">
        <f t="shared" si="92"/>
        <v>12189920</v>
      </c>
      <c r="L254" s="260">
        <f t="shared" si="92"/>
        <v>13648553</v>
      </c>
      <c r="M254" s="477">
        <f t="shared" si="92"/>
        <v>12689381</v>
      </c>
      <c r="N254" s="477">
        <f t="shared" si="92"/>
        <v>14446011</v>
      </c>
      <c r="O254" s="477">
        <f t="shared" si="92"/>
        <v>14568644</v>
      </c>
      <c r="P254" s="260">
        <f>SUM(P253+P241+P239+P221)</f>
        <v>15617446</v>
      </c>
      <c r="Q254" s="260">
        <f>SUM(Q253+Q241+Q239+Q221)</f>
        <v>16532370</v>
      </c>
      <c r="R254" s="260">
        <f t="shared" si="92"/>
        <v>16950982</v>
      </c>
      <c r="S254" s="260">
        <f t="shared" si="92"/>
        <v>16497423</v>
      </c>
      <c r="T254" s="260">
        <f t="shared" si="92"/>
        <v>16417237</v>
      </c>
      <c r="U254" s="260">
        <v>17087724</v>
      </c>
      <c r="V254" s="260">
        <v>17405709</v>
      </c>
      <c r="W254" s="260">
        <v>18206577</v>
      </c>
      <c r="X254" s="260">
        <f t="shared" ref="X254" si="93">SUM(X253+X241+X239+X221)</f>
        <v>18299873</v>
      </c>
      <c r="Y254" s="260">
        <f t="shared" ref="Y254" si="94">SUM(Y253+Y241+Y239+Y221)</f>
        <v>19229996</v>
      </c>
      <c r="Z254" s="735">
        <v>19310471</v>
      </c>
    </row>
    <row r="255" spans="2:26">
      <c r="C255" s="468">
        <f>+C201-C254</f>
        <v>1</v>
      </c>
      <c r="D255" s="468">
        <f t="shared" ref="D255:S255" si="95">+D201-D254</f>
        <v>-9.4939999282360077E-2</v>
      </c>
      <c r="E255" s="468">
        <f t="shared" si="95"/>
        <v>0</v>
      </c>
      <c r="F255" s="468">
        <f t="shared" si="95"/>
        <v>11861</v>
      </c>
      <c r="G255" s="468">
        <f t="shared" si="95"/>
        <v>0</v>
      </c>
      <c r="H255" s="468">
        <f t="shared" si="95"/>
        <v>0</v>
      </c>
      <c r="I255" s="468">
        <f t="shared" si="95"/>
        <v>0</v>
      </c>
      <c r="J255" s="468">
        <f t="shared" si="95"/>
        <v>0</v>
      </c>
      <c r="K255" s="468">
        <f t="shared" si="95"/>
        <v>0</v>
      </c>
      <c r="L255" s="468">
        <f t="shared" si="95"/>
        <v>0</v>
      </c>
      <c r="M255" s="468">
        <f t="shared" si="95"/>
        <v>0</v>
      </c>
      <c r="N255" s="468">
        <f t="shared" si="95"/>
        <v>0</v>
      </c>
      <c r="O255" s="468">
        <f t="shared" si="95"/>
        <v>0</v>
      </c>
      <c r="P255" s="468">
        <f t="shared" si="95"/>
        <v>0</v>
      </c>
      <c r="Q255" s="468">
        <f t="shared" si="95"/>
        <v>0</v>
      </c>
      <c r="R255" s="468">
        <f t="shared" si="95"/>
        <v>0</v>
      </c>
      <c r="S255" s="468">
        <f t="shared" si="95"/>
        <v>0</v>
      </c>
      <c r="X255" s="634">
        <f>X254-X201</f>
        <v>0</v>
      </c>
    </row>
    <row r="256" spans="2:26" ht="110.25" customHeight="1">
      <c r="B256" s="769" t="s">
        <v>362</v>
      </c>
      <c r="C256" s="769"/>
      <c r="D256" s="769"/>
      <c r="E256" s="769"/>
      <c r="F256" s="769"/>
      <c r="G256" s="769"/>
      <c r="H256" s="769"/>
      <c r="I256" s="769"/>
    </row>
    <row r="259" spans="2:2" ht="15">
      <c r="B259" s="11" t="s">
        <v>363</v>
      </c>
    </row>
    <row r="260" spans="2:2">
      <c r="B260" s="1" t="s">
        <v>364</v>
      </c>
    </row>
    <row r="261" spans="2:2">
      <c r="B261" s="1"/>
    </row>
    <row r="262" spans="2:2" ht="15">
      <c r="B262" s="11" t="s">
        <v>365</v>
      </c>
    </row>
    <row r="263" spans="2:2">
      <c r="B263" s="1" t="s">
        <v>366</v>
      </c>
    </row>
  </sheetData>
  <mergeCells count="10">
    <mergeCell ref="B256:I256"/>
    <mergeCell ref="B203:B204"/>
    <mergeCell ref="C203:P203"/>
    <mergeCell ref="B6:B7"/>
    <mergeCell ref="B47:B48"/>
    <mergeCell ref="C47:P47"/>
    <mergeCell ref="B132:B133"/>
    <mergeCell ref="C132:P132"/>
    <mergeCell ref="B168:B169"/>
    <mergeCell ref="C168:P168"/>
  </mergeCells>
  <phoneticPr fontId="194" type="noConversion"/>
  <hyperlinks>
    <hyperlink ref="A1" location="Contenido!A1" display="Volver al Contenido" xr:uid="{9F556960-DC0A-46BB-A11C-17A4D194205C}"/>
    <hyperlink ref="B260" r:id="rId1" xr:uid="{DA09408C-87F1-4AF8-BDE9-8CBA5103F901}"/>
    <hyperlink ref="B263" r:id="rId2" display="https://ri.taesa.com.br/" xr:uid="{0CB7565B-3137-4174-A4F1-4C10EB570CE3}"/>
  </hyperlinks>
  <pageMargins left="0.7" right="0.7" top="0.75" bottom="0.75" header="0.3" footer="0.3"/>
  <pageSetup orientation="portrait" r:id="rId3"/>
  <customProperties>
    <customPr name="_pios_id" r:id="rId4"/>
    <customPr name="EpmWorksheetKeyString_GUID" r:id="rId5"/>
  </customPropertie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O12"/>
  <sheetViews>
    <sheetView showGridLines="0" zoomScale="90" zoomScaleNormal="90" workbookViewId="0">
      <selection activeCell="F22" sqref="F22"/>
    </sheetView>
  </sheetViews>
  <sheetFormatPr baseColWidth="10" defaultColWidth="11.44140625" defaultRowHeight="14.4"/>
  <cols>
    <col min="1" max="1" width="3.88671875" customWidth="1"/>
    <col min="2" max="2" width="49.109375" customWidth="1"/>
    <col min="3" max="3" width="17.44140625" customWidth="1"/>
    <col min="4" max="4" width="15.88671875" customWidth="1"/>
    <col min="5" max="5" width="19.5546875" customWidth="1"/>
    <col min="6" max="6" width="16.109375" customWidth="1"/>
    <col min="7" max="7" width="15" customWidth="1"/>
    <col min="8" max="8" width="19.109375" customWidth="1"/>
    <col min="9" max="9" width="20.44140625" customWidth="1"/>
    <col min="10" max="10" width="16.109375" customWidth="1"/>
    <col min="11" max="11" width="15" customWidth="1"/>
    <col min="12" max="12" width="17.5546875" customWidth="1"/>
    <col min="13" max="13" width="19.88671875" customWidth="1"/>
    <col min="14" max="14" width="20.6640625" customWidth="1"/>
    <col min="15" max="15" width="18.77734375" customWidth="1"/>
  </cols>
  <sheetData>
    <row r="1" spans="1:15">
      <c r="A1" s="1" t="s">
        <v>37</v>
      </c>
    </row>
    <row r="2" spans="1:15">
      <c r="A2" s="1"/>
    </row>
    <row r="3" spans="1:15">
      <c r="A3" s="1"/>
    </row>
    <row r="8" spans="1:15" ht="15.6">
      <c r="B8" s="214"/>
      <c r="C8" s="215" t="s">
        <v>367</v>
      </c>
      <c r="D8" s="215" t="s">
        <v>368</v>
      </c>
      <c r="E8" s="215" t="s">
        <v>369</v>
      </c>
      <c r="F8" s="215" t="s">
        <v>370</v>
      </c>
      <c r="G8" s="215" t="s">
        <v>371</v>
      </c>
      <c r="H8" s="215" t="s">
        <v>372</v>
      </c>
      <c r="I8" s="215" t="s">
        <v>373</v>
      </c>
      <c r="J8" s="215" t="s">
        <v>374</v>
      </c>
      <c r="K8" s="215" t="s">
        <v>375</v>
      </c>
      <c r="L8" s="215" t="s">
        <v>376</v>
      </c>
      <c r="M8" s="215" t="s">
        <v>377</v>
      </c>
      <c r="N8" s="215" t="s">
        <v>378</v>
      </c>
      <c r="O8" s="215" t="s">
        <v>379</v>
      </c>
    </row>
    <row r="9" spans="1:15" ht="15.6">
      <c r="B9" s="135" t="s">
        <v>380</v>
      </c>
      <c r="C9" s="136">
        <v>941</v>
      </c>
      <c r="D9" s="136">
        <v>402</v>
      </c>
      <c r="E9" s="136">
        <v>658</v>
      </c>
      <c r="F9" s="136">
        <v>1395.8</v>
      </c>
      <c r="G9" s="136">
        <v>1395.8</v>
      </c>
      <c r="H9" s="136">
        <v>1395.8</v>
      </c>
      <c r="I9" s="136">
        <v>1395.8</v>
      </c>
      <c r="J9" s="136">
        <v>1395.8</v>
      </c>
      <c r="K9" s="136">
        <v>0</v>
      </c>
      <c r="L9" s="136">
        <v>0</v>
      </c>
      <c r="M9" s="136">
        <v>0</v>
      </c>
      <c r="N9" s="136">
        <v>0</v>
      </c>
      <c r="O9" s="136">
        <v>0</v>
      </c>
    </row>
    <row r="10" spans="1:15" ht="15.6">
      <c r="B10" s="135" t="s">
        <v>381</v>
      </c>
      <c r="C10" s="136">
        <v>777</v>
      </c>
      <c r="D10" s="136">
        <v>750</v>
      </c>
      <c r="E10" s="136">
        <v>838.9</v>
      </c>
      <c r="F10" s="136">
        <v>594.5</v>
      </c>
      <c r="G10" s="136">
        <v>594.5</v>
      </c>
      <c r="H10" s="136">
        <v>594.5</v>
      </c>
      <c r="I10" s="136">
        <v>594.5</v>
      </c>
      <c r="J10" s="136">
        <v>594.5</v>
      </c>
      <c r="K10" s="136">
        <v>110</v>
      </c>
      <c r="L10" s="136">
        <v>110</v>
      </c>
      <c r="M10" s="136">
        <v>100</v>
      </c>
      <c r="N10" s="136">
        <v>110</v>
      </c>
      <c r="O10" s="136">
        <v>110</v>
      </c>
    </row>
    <row r="11" spans="1:15" ht="15.6">
      <c r="B11" s="135" t="s">
        <v>382</v>
      </c>
      <c r="C11" s="136">
        <v>620</v>
      </c>
      <c r="D11" s="136">
        <v>0</v>
      </c>
      <c r="E11" s="136">
        <v>0</v>
      </c>
      <c r="F11" s="136">
        <v>0</v>
      </c>
      <c r="G11" s="136">
        <v>0</v>
      </c>
      <c r="H11" s="136">
        <v>0</v>
      </c>
      <c r="I11" s="136">
        <v>0</v>
      </c>
      <c r="J11" s="136">
        <v>0</v>
      </c>
      <c r="K11" s="136">
        <v>0</v>
      </c>
      <c r="L11" s="136">
        <v>0</v>
      </c>
      <c r="M11" s="136">
        <v>0</v>
      </c>
      <c r="N11" s="136">
        <v>0</v>
      </c>
      <c r="O11" s="617">
        <v>0</v>
      </c>
    </row>
    <row r="12" spans="1:15" ht="15.6">
      <c r="B12" s="135" t="s">
        <v>383</v>
      </c>
      <c r="C12" s="633">
        <v>2338</v>
      </c>
      <c r="D12" s="633">
        <v>1152</v>
      </c>
      <c r="E12" s="633">
        <v>1496.9</v>
      </c>
      <c r="F12" s="633">
        <v>1990.3</v>
      </c>
      <c r="G12" s="633">
        <v>1990.3</v>
      </c>
      <c r="H12" s="633">
        <v>1990.3</v>
      </c>
      <c r="I12" s="633">
        <v>1990.3</v>
      </c>
      <c r="J12" s="633">
        <v>1990.3</v>
      </c>
      <c r="K12" s="633">
        <v>110</v>
      </c>
      <c r="L12" s="633">
        <v>110</v>
      </c>
      <c r="M12" s="633">
        <v>100</v>
      </c>
      <c r="N12" s="633">
        <v>110</v>
      </c>
      <c r="O12" s="633">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AB275"/>
  <sheetViews>
    <sheetView showGridLines="0" zoomScale="90" zoomScaleNormal="90" workbookViewId="0">
      <pane xSplit="2" ySplit="7" topLeftCell="W250" activePane="bottomRight" state="frozen"/>
      <selection pane="topRight" activeCell="C1" sqref="C1"/>
      <selection pane="bottomLeft" activeCell="A7" sqref="A7"/>
      <selection pane="bottomRight" activeCell="AB7" sqref="AB7:AB250"/>
    </sheetView>
  </sheetViews>
  <sheetFormatPr baseColWidth="10" defaultColWidth="11.44140625" defaultRowHeight="14.4"/>
  <cols>
    <col min="1" max="1" width="3.109375" customWidth="1"/>
    <col min="2" max="2" width="83" customWidth="1"/>
    <col min="3" max="3" width="20.44140625" customWidth="1"/>
    <col min="4" max="14" width="14.44140625" customWidth="1"/>
    <col min="15" max="16" width="14" style="36" bestFit="1" customWidth="1"/>
    <col min="17" max="17" width="13.88671875" customWidth="1"/>
    <col min="18" max="19" width="13.5546875" bestFit="1" customWidth="1"/>
    <col min="20" max="20" width="14.109375" bestFit="1" customWidth="1"/>
    <col min="21" max="21" width="5.6640625" customWidth="1"/>
    <col min="22" max="22" width="65.109375" bestFit="1" customWidth="1"/>
    <col min="23" max="28" width="16.109375" bestFit="1" customWidth="1"/>
  </cols>
  <sheetData>
    <row r="1" spans="1:28">
      <c r="A1" s="1" t="s">
        <v>37</v>
      </c>
      <c r="I1" s="33"/>
      <c r="J1" s="33"/>
      <c r="K1" s="33"/>
      <c r="L1" s="33"/>
    </row>
    <row r="2" spans="1:28">
      <c r="C2" s="9"/>
      <c r="D2" s="9"/>
      <c r="M2" s="9"/>
      <c r="N2" s="9"/>
    </row>
    <row r="3" spans="1:28" ht="15.6">
      <c r="A3" s="48" t="s">
        <v>137</v>
      </c>
      <c r="B3" s="11" t="s">
        <v>384</v>
      </c>
      <c r="C3" s="107"/>
      <c r="D3" s="107"/>
      <c r="E3" s="111"/>
      <c r="F3" s="67"/>
      <c r="G3" s="67"/>
      <c r="H3" s="67"/>
      <c r="I3" s="67"/>
      <c r="J3" s="67"/>
      <c r="K3" s="67"/>
      <c r="L3" s="67"/>
      <c r="M3" s="67"/>
      <c r="N3" s="67"/>
      <c r="O3" s="249"/>
      <c r="P3" s="249"/>
    </row>
    <row r="4" spans="1:28" ht="15.6">
      <c r="B4" s="13" t="s">
        <v>385</v>
      </c>
      <c r="C4" s="107"/>
      <c r="D4" s="107"/>
      <c r="E4" s="67"/>
      <c r="F4" s="67"/>
      <c r="G4" s="67"/>
      <c r="H4" s="67"/>
      <c r="I4" s="111"/>
      <c r="J4" s="67"/>
      <c r="K4" s="67"/>
      <c r="L4" s="67"/>
      <c r="M4" s="67"/>
      <c r="N4" s="67"/>
      <c r="O4" s="249"/>
      <c r="P4" s="249"/>
    </row>
    <row r="5" spans="1:28" ht="15.6">
      <c r="B5" s="13"/>
      <c r="C5" s="107"/>
      <c r="D5" s="107"/>
      <c r="E5" s="67"/>
      <c r="F5" s="67"/>
      <c r="G5" s="67"/>
      <c r="H5" s="67"/>
      <c r="I5" s="111"/>
      <c r="J5" s="67"/>
      <c r="K5" s="67"/>
      <c r="L5" s="67"/>
      <c r="M5" s="67"/>
      <c r="N5" s="67"/>
      <c r="O5" s="249"/>
      <c r="P5" s="249"/>
    </row>
    <row r="6" spans="1:28" ht="15.6">
      <c r="B6" s="31"/>
      <c r="C6" s="37"/>
      <c r="D6" s="37"/>
      <c r="E6" s="105"/>
      <c r="F6" s="111"/>
      <c r="G6" s="67"/>
      <c r="H6" s="67"/>
      <c r="I6" s="37"/>
      <c r="J6" s="37"/>
      <c r="K6" s="37"/>
      <c r="L6" s="37"/>
      <c r="M6" s="111"/>
      <c r="N6" s="67"/>
      <c r="O6" s="249"/>
      <c r="P6" s="249"/>
    </row>
    <row r="7" spans="1:28" ht="15">
      <c r="B7" s="250"/>
      <c r="C7" s="251">
        <v>2016</v>
      </c>
      <c r="D7" s="251">
        <v>2017</v>
      </c>
      <c r="E7" s="251" t="s">
        <v>40</v>
      </c>
      <c r="F7" s="251" t="s">
        <v>41</v>
      </c>
      <c r="G7" s="251" t="s">
        <v>42</v>
      </c>
      <c r="H7" s="251" t="s">
        <v>43</v>
      </c>
      <c r="I7" s="251" t="s">
        <v>44</v>
      </c>
      <c r="J7" s="251" t="s">
        <v>45</v>
      </c>
      <c r="K7" s="251" t="s">
        <v>46</v>
      </c>
      <c r="L7" s="251" t="s">
        <v>47</v>
      </c>
      <c r="M7" s="251" t="s">
        <v>48</v>
      </c>
      <c r="N7" s="251" t="s">
        <v>49</v>
      </c>
      <c r="O7" s="251" t="s">
        <v>50</v>
      </c>
      <c r="P7" s="251" t="s">
        <v>51</v>
      </c>
      <c r="Q7" s="245" t="s">
        <v>52</v>
      </c>
      <c r="R7" s="251" t="s">
        <v>53</v>
      </c>
      <c r="S7" s="251" t="s">
        <v>54</v>
      </c>
      <c r="T7" s="251" t="s">
        <v>55</v>
      </c>
      <c r="W7" s="251" t="s">
        <v>87</v>
      </c>
      <c r="X7" s="251" t="s">
        <v>56</v>
      </c>
      <c r="Y7" s="251" t="s">
        <v>57</v>
      </c>
      <c r="Z7" s="251" t="s">
        <v>1154</v>
      </c>
      <c r="AA7" s="251" t="s">
        <v>1169</v>
      </c>
      <c r="AB7" s="251" t="s">
        <v>1207</v>
      </c>
    </row>
    <row r="8" spans="1:28" ht="15.6">
      <c r="B8" s="137"/>
      <c r="C8" s="31"/>
      <c r="D8" s="31"/>
      <c r="E8" s="31"/>
      <c r="F8" s="31"/>
      <c r="G8" s="31"/>
      <c r="H8" s="31"/>
      <c r="I8" s="31"/>
      <c r="J8" s="31"/>
      <c r="K8" s="31"/>
      <c r="L8" s="31"/>
      <c r="M8" s="31"/>
      <c r="N8" s="31"/>
      <c r="O8" s="31"/>
      <c r="P8" s="153"/>
      <c r="R8" s="153"/>
      <c r="S8" s="153"/>
      <c r="T8" s="153"/>
    </row>
    <row r="9" spans="1:28" ht="15.6">
      <c r="B9" s="72" t="s">
        <v>58</v>
      </c>
      <c r="C9" s="107">
        <v>283605</v>
      </c>
      <c r="D9" s="107">
        <v>156095</v>
      </c>
      <c r="E9" s="107">
        <v>21042</v>
      </c>
      <c r="F9" s="107">
        <v>15734</v>
      </c>
      <c r="G9" s="107">
        <v>11662</v>
      </c>
      <c r="H9" s="107">
        <v>10577</v>
      </c>
      <c r="I9" s="107">
        <v>5408</v>
      </c>
      <c r="J9" s="107">
        <v>4090</v>
      </c>
      <c r="K9" s="107">
        <v>7748</v>
      </c>
      <c r="L9" s="107">
        <v>27746</v>
      </c>
      <c r="M9" s="107">
        <v>24712</v>
      </c>
      <c r="N9" s="107">
        <v>30552</v>
      </c>
      <c r="O9" s="107">
        <v>54420</v>
      </c>
      <c r="P9" s="155">
        <v>46560</v>
      </c>
      <c r="Q9" s="155">
        <v>35725</v>
      </c>
      <c r="R9" s="155">
        <v>38346</v>
      </c>
      <c r="S9" s="155">
        <v>43835.227249999996</v>
      </c>
      <c r="T9" s="155">
        <v>56591</v>
      </c>
      <c r="V9" s="72" t="s">
        <v>58</v>
      </c>
      <c r="W9" s="155">
        <v>21122.73374</v>
      </c>
      <c r="X9" s="155">
        <v>28203.26626</v>
      </c>
      <c r="Y9" s="155">
        <v>55876.810010000001</v>
      </c>
      <c r="Z9" s="155">
        <v>54047.752719999975</v>
      </c>
      <c r="AA9" s="155">
        <v>35188.471460000001</v>
      </c>
      <c r="AB9" s="155">
        <v>14867.505250000002</v>
      </c>
    </row>
    <row r="10" spans="1:28" ht="15.6">
      <c r="B10" s="72" t="s">
        <v>59</v>
      </c>
      <c r="C10" s="107">
        <v>283605</v>
      </c>
      <c r="D10" s="107">
        <v>155944</v>
      </c>
      <c r="E10" s="107">
        <v>20965</v>
      </c>
      <c r="F10" s="107">
        <v>15766</v>
      </c>
      <c r="G10" s="107">
        <v>11648</v>
      </c>
      <c r="H10" s="107">
        <v>10920</v>
      </c>
      <c r="I10" s="107">
        <v>5408</v>
      </c>
      <c r="J10" s="107">
        <v>4089</v>
      </c>
      <c r="K10" s="107">
        <v>7747</v>
      </c>
      <c r="L10" s="107">
        <v>27746</v>
      </c>
      <c r="M10" s="107">
        <v>24712</v>
      </c>
      <c r="N10" s="107">
        <v>30552</v>
      </c>
      <c r="O10" s="107">
        <v>54420</v>
      </c>
      <c r="P10" s="155">
        <v>46560</v>
      </c>
      <c r="Q10" s="155">
        <v>35725</v>
      </c>
      <c r="R10" s="155">
        <v>38346</v>
      </c>
      <c r="S10" s="155">
        <v>43835.227249999996</v>
      </c>
      <c r="T10" s="155">
        <v>56591</v>
      </c>
      <c r="V10" s="72" t="s">
        <v>59</v>
      </c>
      <c r="W10" s="155">
        <v>21122.73374</v>
      </c>
      <c r="X10" s="155">
        <v>28203.26626</v>
      </c>
      <c r="Y10" s="155">
        <v>55876.810010000001</v>
      </c>
      <c r="Z10" s="155">
        <v>54047.752719999975</v>
      </c>
      <c r="AA10" s="155">
        <v>35188.471460000001</v>
      </c>
      <c r="AB10" s="155">
        <v>14867.505250000002</v>
      </c>
    </row>
    <row r="11" spans="1:28" ht="15.6">
      <c r="B11" s="131" t="s">
        <v>60</v>
      </c>
      <c r="C11" s="138">
        <f t="shared" ref="C11:N11" si="0">+C9-C10</f>
        <v>0</v>
      </c>
      <c r="D11" s="138">
        <f t="shared" si="0"/>
        <v>151</v>
      </c>
      <c r="E11" s="138">
        <f t="shared" si="0"/>
        <v>77</v>
      </c>
      <c r="F11" s="138">
        <f t="shared" si="0"/>
        <v>-32</v>
      </c>
      <c r="G11" s="138">
        <f t="shared" si="0"/>
        <v>14</v>
      </c>
      <c r="H11" s="138">
        <f t="shared" si="0"/>
        <v>-343</v>
      </c>
      <c r="I11" s="138">
        <f t="shared" si="0"/>
        <v>0</v>
      </c>
      <c r="J11" s="138">
        <f t="shared" si="0"/>
        <v>1</v>
      </c>
      <c r="K11" s="138">
        <f t="shared" si="0"/>
        <v>1</v>
      </c>
      <c r="L11" s="138">
        <f t="shared" si="0"/>
        <v>0</v>
      </c>
      <c r="M11" s="138">
        <f t="shared" si="0"/>
        <v>0</v>
      </c>
      <c r="N11" s="138">
        <f t="shared" si="0"/>
        <v>0</v>
      </c>
      <c r="O11" s="138">
        <v>0</v>
      </c>
      <c r="P11" s="157">
        <f>+P9-P10</f>
        <v>0</v>
      </c>
      <c r="Q11" s="157">
        <f>+Q9-Q10</f>
        <v>0</v>
      </c>
      <c r="R11" s="157">
        <v>0</v>
      </c>
      <c r="S11" s="157">
        <v>0</v>
      </c>
      <c r="T11" s="157">
        <v>0</v>
      </c>
      <c r="V11" s="131" t="s">
        <v>61</v>
      </c>
      <c r="W11" s="157">
        <v>0</v>
      </c>
      <c r="X11" s="157">
        <v>0</v>
      </c>
      <c r="Y11" s="157">
        <v>0</v>
      </c>
      <c r="Z11" s="157">
        <v>0</v>
      </c>
      <c r="AA11" s="157">
        <v>0</v>
      </c>
      <c r="AB11" s="157">
        <v>0</v>
      </c>
    </row>
    <row r="12" spans="1:28" ht="15.6">
      <c r="B12" s="137"/>
      <c r="C12" s="8"/>
      <c r="D12" s="8"/>
      <c r="E12" s="8"/>
      <c r="F12" s="8"/>
      <c r="G12" s="8"/>
      <c r="H12" s="8"/>
      <c r="I12" s="8"/>
      <c r="J12" s="8"/>
      <c r="K12" s="8"/>
      <c r="L12" s="8"/>
      <c r="M12" s="8"/>
      <c r="N12" s="8"/>
      <c r="O12" s="8"/>
      <c r="P12" s="153"/>
      <c r="Q12" s="153"/>
      <c r="R12" s="153"/>
      <c r="S12" s="153"/>
      <c r="T12" s="153"/>
      <c r="V12" s="72"/>
      <c r="W12" s="153"/>
      <c r="X12" s="153"/>
      <c r="Y12" s="153"/>
      <c r="Z12" s="153"/>
      <c r="AA12" s="153"/>
      <c r="AB12" s="153"/>
    </row>
    <row r="13" spans="1:28" ht="15.6">
      <c r="B13" s="72" t="s">
        <v>142</v>
      </c>
      <c r="C13" s="107">
        <v>121258</v>
      </c>
      <c r="D13" s="107">
        <v>125996</v>
      </c>
      <c r="E13" s="107">
        <v>42359</v>
      </c>
      <c r="F13" s="107">
        <v>43410</v>
      </c>
      <c r="G13" s="107">
        <v>42480</v>
      </c>
      <c r="H13" s="107">
        <v>43239</v>
      </c>
      <c r="I13" s="107">
        <v>46246</v>
      </c>
      <c r="J13" s="107">
        <v>47154</v>
      </c>
      <c r="K13" s="107">
        <v>46529</v>
      </c>
      <c r="L13" s="107">
        <v>46991</v>
      </c>
      <c r="M13" s="107">
        <v>44865</v>
      </c>
      <c r="N13" s="107">
        <v>47587</v>
      </c>
      <c r="O13" s="107">
        <v>49031</v>
      </c>
      <c r="P13" s="155">
        <v>48720</v>
      </c>
      <c r="Q13" s="155">
        <v>47787</v>
      </c>
      <c r="R13" s="155">
        <v>47924</v>
      </c>
      <c r="S13" s="155">
        <v>47947.756540000002</v>
      </c>
      <c r="T13" s="155">
        <v>47584</v>
      </c>
      <c r="V13" s="72" t="str">
        <f>+B13</f>
        <v>Servicios de transmisión de energía eléctrica</v>
      </c>
      <c r="W13" s="155">
        <v>48135.080750000001</v>
      </c>
      <c r="X13" s="155">
        <v>50917.919249999999</v>
      </c>
      <c r="Y13" s="155">
        <v>50292.940479999997</v>
      </c>
      <c r="Z13" s="155">
        <v>50709.837939999998</v>
      </c>
      <c r="AA13" s="155">
        <v>50564.614399999999</v>
      </c>
      <c r="AB13" s="155">
        <v>58907.121930000001</v>
      </c>
    </row>
    <row r="14" spans="1:28" ht="15.6">
      <c r="B14" s="72" t="s">
        <v>386</v>
      </c>
      <c r="C14" s="107">
        <v>0</v>
      </c>
      <c r="D14" s="107">
        <v>2893</v>
      </c>
      <c r="E14" s="107">
        <v>674</v>
      </c>
      <c r="F14" s="107">
        <v>757</v>
      </c>
      <c r="G14" s="107">
        <v>794</v>
      </c>
      <c r="H14" s="107">
        <v>1091</v>
      </c>
      <c r="I14" s="107">
        <v>766</v>
      </c>
      <c r="J14" s="107">
        <v>762</v>
      </c>
      <c r="K14" s="107">
        <v>740</v>
      </c>
      <c r="L14" s="107">
        <v>644</v>
      </c>
      <c r="M14" s="107">
        <v>784</v>
      </c>
      <c r="N14" s="107">
        <v>784</v>
      </c>
      <c r="O14" s="107">
        <v>1043</v>
      </c>
      <c r="P14" s="155">
        <v>802</v>
      </c>
      <c r="Q14" s="155">
        <v>808</v>
      </c>
      <c r="R14" s="155">
        <v>988</v>
      </c>
      <c r="S14" s="155">
        <v>1126.14345</v>
      </c>
      <c r="T14" s="155">
        <v>1076</v>
      </c>
      <c r="V14" s="72" t="str">
        <f t="shared" ref="V14:V16" si="1">+B14</f>
        <v>Ingresos complementarios</v>
      </c>
      <c r="W14" s="155">
        <v>1172.7984899999999</v>
      </c>
      <c r="X14" s="155">
        <v>1162.2015100000001</v>
      </c>
      <c r="Y14" s="155">
        <v>1192.4940899999999</v>
      </c>
      <c r="Z14" s="155">
        <v>1190.5914299999995</v>
      </c>
      <c r="AA14" s="155">
        <v>1219.3886399999999</v>
      </c>
      <c r="AB14" s="155">
        <v>1250.3691100000003</v>
      </c>
    </row>
    <row r="15" spans="1:28" ht="15.6">
      <c r="B15" s="72" t="s">
        <v>68</v>
      </c>
      <c r="C15" s="107">
        <v>0</v>
      </c>
      <c r="D15" s="107">
        <v>0</v>
      </c>
      <c r="E15" s="107">
        <v>0</v>
      </c>
      <c r="F15" s="107">
        <v>0</v>
      </c>
      <c r="G15" s="107">
        <v>0</v>
      </c>
      <c r="H15" s="107">
        <v>0</v>
      </c>
      <c r="I15" s="107">
        <v>0</v>
      </c>
      <c r="J15" s="107">
        <v>0</v>
      </c>
      <c r="K15" s="107">
        <v>0</v>
      </c>
      <c r="L15" s="107">
        <v>0</v>
      </c>
      <c r="M15" s="107">
        <v>0</v>
      </c>
      <c r="N15" s="107">
        <v>0</v>
      </c>
      <c r="O15" s="107">
        <v>0</v>
      </c>
      <c r="P15" s="155">
        <v>67</v>
      </c>
      <c r="Q15" s="155">
        <v>0</v>
      </c>
      <c r="R15" s="155">
        <v>0</v>
      </c>
      <c r="S15" s="155">
        <v>0</v>
      </c>
      <c r="T15" s="155">
        <v>0</v>
      </c>
      <c r="V15" s="72" t="str">
        <f t="shared" si="1"/>
        <v>Otros ingresos operacionales</v>
      </c>
      <c r="W15" s="155">
        <v>45.049150000000004</v>
      </c>
      <c r="X15" s="155">
        <v>18.950849999999996</v>
      </c>
      <c r="Y15" s="155">
        <v>-10.999790000000004</v>
      </c>
      <c r="Z15" s="155">
        <v>340.22018000000003</v>
      </c>
      <c r="AA15" s="155">
        <v>572.34968000000003</v>
      </c>
      <c r="AB15" s="155">
        <v>-163.22878000000003</v>
      </c>
    </row>
    <row r="16" spans="1:28" ht="15.6">
      <c r="B16" s="72" t="s">
        <v>69</v>
      </c>
      <c r="C16" s="107">
        <v>14580</v>
      </c>
      <c r="D16" s="107">
        <v>14982</v>
      </c>
      <c r="E16" s="107">
        <v>4565</v>
      </c>
      <c r="F16" s="107">
        <v>4724</v>
      </c>
      <c r="G16" s="107">
        <v>4252</v>
      </c>
      <c r="H16" s="107">
        <v>4744</v>
      </c>
      <c r="I16" s="107">
        <v>4767</v>
      </c>
      <c r="J16" s="107">
        <v>5434</v>
      </c>
      <c r="K16" s="107">
        <v>5453</v>
      </c>
      <c r="L16" s="107">
        <f>5864-17</f>
        <v>5847</v>
      </c>
      <c r="M16" s="107">
        <v>5235</v>
      </c>
      <c r="N16" s="107">
        <v>5249</v>
      </c>
      <c r="O16" s="107">
        <v>4468</v>
      </c>
      <c r="P16" s="155">
        <v>5694</v>
      </c>
      <c r="Q16" s="155">
        <v>5189</v>
      </c>
      <c r="R16" s="155">
        <v>4773</v>
      </c>
      <c r="S16" s="155">
        <v>4937.1898500000007</v>
      </c>
      <c r="T16" s="155">
        <v>5197</v>
      </c>
      <c r="V16" s="72" t="str">
        <f t="shared" si="1"/>
        <v>Costos y gastos AOM</v>
      </c>
      <c r="W16" s="155">
        <v>5919.2042000000001</v>
      </c>
      <c r="X16" s="155">
        <v>5588.7957999999999</v>
      </c>
      <c r="Y16" s="155">
        <v>7401.6913999999997</v>
      </c>
      <c r="Z16" s="155">
        <v>6880.110349999999</v>
      </c>
      <c r="AA16" s="155">
        <v>6327.9116200000008</v>
      </c>
      <c r="AB16" s="155">
        <v>5857.4017499999991</v>
      </c>
    </row>
    <row r="17" spans="2:28" ht="15.6">
      <c r="B17" s="131" t="s">
        <v>70</v>
      </c>
      <c r="C17" s="138">
        <f t="shared" ref="C17:N17" si="2">+SUM(C13:C15)-C16</f>
        <v>106678</v>
      </c>
      <c r="D17" s="138">
        <f t="shared" si="2"/>
        <v>113907</v>
      </c>
      <c r="E17" s="138">
        <f t="shared" si="2"/>
        <v>38468</v>
      </c>
      <c r="F17" s="138">
        <f t="shared" si="2"/>
        <v>39443</v>
      </c>
      <c r="G17" s="138">
        <f t="shared" si="2"/>
        <v>39022</v>
      </c>
      <c r="H17" s="138">
        <f t="shared" si="2"/>
        <v>39586</v>
      </c>
      <c r="I17" s="138">
        <f t="shared" si="2"/>
        <v>42245</v>
      </c>
      <c r="J17" s="138">
        <f t="shared" si="2"/>
        <v>42482</v>
      </c>
      <c r="K17" s="138">
        <f t="shared" si="2"/>
        <v>41816</v>
      </c>
      <c r="L17" s="138">
        <f t="shared" si="2"/>
        <v>41788</v>
      </c>
      <c r="M17" s="138">
        <f t="shared" si="2"/>
        <v>40414</v>
      </c>
      <c r="N17" s="138">
        <f t="shared" si="2"/>
        <v>43122</v>
      </c>
      <c r="O17" s="138">
        <v>45606</v>
      </c>
      <c r="P17" s="157">
        <f>+SUM(P13:P15)-P16</f>
        <v>43895</v>
      </c>
      <c r="Q17" s="157">
        <f>+SUM(Q13:Q15)-Q16</f>
        <v>43406</v>
      </c>
      <c r="R17" s="157">
        <v>44139</v>
      </c>
      <c r="S17" s="157">
        <v>44136.710140000003</v>
      </c>
      <c r="T17" s="157">
        <f>+SUM(T13:T15)-T16</f>
        <v>43463</v>
      </c>
      <c r="V17" s="72" t="s">
        <v>71</v>
      </c>
      <c r="W17" s="155">
        <v>13388.61721</v>
      </c>
      <c r="X17" s="155">
        <v>13394.38279</v>
      </c>
      <c r="Y17" s="155">
        <v>13389.139220000005</v>
      </c>
      <c r="Z17" s="155">
        <v>17503.80483999999</v>
      </c>
      <c r="AA17" s="155">
        <v>13960.785900000001</v>
      </c>
      <c r="AB17" s="155">
        <f>13933.27995+84.18771</f>
        <v>14017.46766</v>
      </c>
    </row>
    <row r="18" spans="2:28" ht="15.6">
      <c r="B18" s="74" t="s">
        <v>72</v>
      </c>
      <c r="C18" s="108">
        <f t="shared" ref="C18:N18" si="3">+C11+C17</f>
        <v>106678</v>
      </c>
      <c r="D18" s="108">
        <f t="shared" si="3"/>
        <v>114058</v>
      </c>
      <c r="E18" s="108">
        <f t="shared" si="3"/>
        <v>38545</v>
      </c>
      <c r="F18" s="108">
        <f t="shared" si="3"/>
        <v>39411</v>
      </c>
      <c r="G18" s="108">
        <f t="shared" si="3"/>
        <v>39036</v>
      </c>
      <c r="H18" s="108">
        <f t="shared" si="3"/>
        <v>39243</v>
      </c>
      <c r="I18" s="108">
        <f t="shared" si="3"/>
        <v>42245</v>
      </c>
      <c r="J18" s="108">
        <f t="shared" si="3"/>
        <v>42483</v>
      </c>
      <c r="K18" s="108">
        <f t="shared" si="3"/>
        <v>41817</v>
      </c>
      <c r="L18" s="108">
        <f t="shared" si="3"/>
        <v>41788</v>
      </c>
      <c r="M18" s="108">
        <f t="shared" si="3"/>
        <v>40414</v>
      </c>
      <c r="N18" s="108">
        <f t="shared" si="3"/>
        <v>43122</v>
      </c>
      <c r="O18" s="108">
        <v>45606</v>
      </c>
      <c r="P18" s="159">
        <f>+P11+P17</f>
        <v>43895</v>
      </c>
      <c r="Q18" s="159">
        <f>+Q11+Q17</f>
        <v>43406</v>
      </c>
      <c r="R18" s="159">
        <v>44139</v>
      </c>
      <c r="S18" s="159">
        <v>44136.710140000003</v>
      </c>
      <c r="T18" s="159">
        <f>+T11+T17</f>
        <v>43463</v>
      </c>
      <c r="V18" s="529" t="s">
        <v>387</v>
      </c>
      <c r="W18" s="159">
        <v>30045.10698</v>
      </c>
      <c r="X18" s="159">
        <v>33115.893020000003</v>
      </c>
      <c r="Y18" s="159">
        <v>30683.604159999992</v>
      </c>
      <c r="Z18" s="159">
        <f>+SUM(Z13:Z15)-SUM(Z16:Z17)+Z11</f>
        <v>27856.734360000006</v>
      </c>
      <c r="AA18" s="159">
        <f>+SUM(AA13:AA15)-SUM(AA16:AA17)+AA11</f>
        <v>32067.655199999994</v>
      </c>
      <c r="AB18" s="159">
        <f>+AB11+AB13+AB14+AB15-AB16-AB17</f>
        <v>40119.392850000004</v>
      </c>
    </row>
    <row r="19" spans="2:28" ht="15.6">
      <c r="B19" s="71"/>
      <c r="C19" s="8"/>
      <c r="D19" s="8"/>
      <c r="E19" s="8"/>
      <c r="F19" s="8"/>
      <c r="G19" s="8"/>
      <c r="H19" s="8"/>
      <c r="I19" s="8"/>
      <c r="J19" s="8"/>
      <c r="K19" s="8"/>
      <c r="L19" s="8"/>
      <c r="M19" s="8"/>
      <c r="N19" s="8"/>
      <c r="O19" s="8"/>
      <c r="P19" s="153"/>
      <c r="Q19" s="153"/>
      <c r="R19" s="153"/>
      <c r="S19" s="153"/>
      <c r="T19" s="153"/>
      <c r="V19" s="71"/>
    </row>
    <row r="20" spans="2:28" ht="15.6">
      <c r="B20" s="72" t="s">
        <v>71</v>
      </c>
      <c r="C20" s="107">
        <v>32486</v>
      </c>
      <c r="D20" s="107">
        <v>35279</v>
      </c>
      <c r="E20" s="107">
        <v>13382</v>
      </c>
      <c r="F20" s="107">
        <v>13871</v>
      </c>
      <c r="G20" s="107">
        <v>13742</v>
      </c>
      <c r="H20" s="107">
        <v>12613</v>
      </c>
      <c r="I20" s="107">
        <v>13488</v>
      </c>
      <c r="J20" s="107">
        <v>13464</v>
      </c>
      <c r="K20" s="107">
        <v>13471</v>
      </c>
      <c r="L20" s="107">
        <v>12325</v>
      </c>
      <c r="M20" s="107">
        <v>14146</v>
      </c>
      <c r="N20" s="107">
        <v>14145</v>
      </c>
      <c r="O20" s="107">
        <v>14139</v>
      </c>
      <c r="P20" s="155">
        <v>13834</v>
      </c>
      <c r="Q20" s="155">
        <v>13369</v>
      </c>
      <c r="R20" s="155">
        <v>13640</v>
      </c>
      <c r="S20" s="155">
        <v>13426.29434</v>
      </c>
      <c r="T20" s="155">
        <v>15004</v>
      </c>
      <c r="V20" s="72"/>
    </row>
    <row r="21" spans="2:28" ht="15.6">
      <c r="B21" s="72" t="s">
        <v>74</v>
      </c>
      <c r="C21" s="107">
        <v>0</v>
      </c>
      <c r="D21" s="107">
        <v>0</v>
      </c>
      <c r="E21" s="107">
        <v>0</v>
      </c>
      <c r="F21" s="107">
        <v>0</v>
      </c>
      <c r="G21" s="107">
        <v>0</v>
      </c>
      <c r="H21" s="107">
        <v>0</v>
      </c>
      <c r="I21" s="107">
        <v>0</v>
      </c>
      <c r="J21" s="107">
        <v>0</v>
      </c>
      <c r="K21" s="107">
        <v>0</v>
      </c>
      <c r="L21" s="107">
        <v>0</v>
      </c>
      <c r="M21" s="107">
        <v>0</v>
      </c>
      <c r="N21" s="107">
        <v>0</v>
      </c>
      <c r="O21" s="107">
        <v>0</v>
      </c>
      <c r="P21" s="155">
        <v>0</v>
      </c>
      <c r="Q21" s="155">
        <v>0</v>
      </c>
      <c r="R21" s="155">
        <v>0</v>
      </c>
      <c r="S21" s="155">
        <v>0</v>
      </c>
      <c r="T21" s="155">
        <v>0</v>
      </c>
      <c r="V21" s="72" t="s">
        <v>74</v>
      </c>
      <c r="W21" s="532">
        <v>0</v>
      </c>
      <c r="X21" s="532">
        <v>0</v>
      </c>
      <c r="Y21" s="532">
        <v>0</v>
      </c>
      <c r="Z21" s="532">
        <v>0</v>
      </c>
      <c r="AA21" s="532">
        <v>0</v>
      </c>
      <c r="AB21" s="532">
        <v>0</v>
      </c>
    </row>
    <row r="22" spans="2:28" ht="15.6">
      <c r="B22" s="72" t="s">
        <v>75</v>
      </c>
      <c r="C22" s="107">
        <v>1</v>
      </c>
      <c r="D22" s="107">
        <v>-504</v>
      </c>
      <c r="E22" s="107">
        <v>-142</v>
      </c>
      <c r="F22" s="107">
        <v>-64</v>
      </c>
      <c r="G22" s="107">
        <v>-135</v>
      </c>
      <c r="H22" s="107">
        <v>-210</v>
      </c>
      <c r="I22" s="107">
        <v>-30</v>
      </c>
      <c r="J22" s="107">
        <v>37</v>
      </c>
      <c r="K22" s="107">
        <v>-63</v>
      </c>
      <c r="L22" s="107">
        <v>-467</v>
      </c>
      <c r="M22" s="107">
        <v>76</v>
      </c>
      <c r="N22" s="107">
        <v>156</v>
      </c>
      <c r="O22" s="107">
        <v>-232</v>
      </c>
      <c r="P22" s="155">
        <f>-56+111</f>
        <v>55</v>
      </c>
      <c r="Q22" s="155">
        <v>55</v>
      </c>
      <c r="R22" s="155">
        <v>132</v>
      </c>
      <c r="S22" s="155">
        <v>4.6802800000000104</v>
      </c>
      <c r="T22" s="155">
        <f>213+59</f>
        <v>272</v>
      </c>
      <c r="V22" s="72" t="s">
        <v>75</v>
      </c>
      <c r="W22" s="532">
        <v>0</v>
      </c>
      <c r="X22" s="532">
        <v>0</v>
      </c>
      <c r="Y22" s="532">
        <v>0</v>
      </c>
      <c r="Z22" s="532">
        <v>0</v>
      </c>
      <c r="AA22" s="532">
        <v>0</v>
      </c>
      <c r="AB22" s="532">
        <v>0</v>
      </c>
    </row>
    <row r="23" spans="2:28" ht="15.6">
      <c r="B23" s="74" t="s">
        <v>76</v>
      </c>
      <c r="C23" s="108">
        <f t="shared" ref="C23:M23" si="4">+C18-C20+C21+C22</f>
        <v>74193</v>
      </c>
      <c r="D23" s="108">
        <f t="shared" si="4"/>
        <v>78275</v>
      </c>
      <c r="E23" s="108">
        <f t="shared" si="4"/>
        <v>25021</v>
      </c>
      <c r="F23" s="108">
        <f t="shared" si="4"/>
        <v>25476</v>
      </c>
      <c r="G23" s="108">
        <f t="shared" si="4"/>
        <v>25159</v>
      </c>
      <c r="H23" s="108">
        <f t="shared" si="4"/>
        <v>26420</v>
      </c>
      <c r="I23" s="108">
        <f>+I18-I20+I21+I22</f>
        <v>28727</v>
      </c>
      <c r="J23" s="108">
        <f>+J18-J20+J21+J22</f>
        <v>29056</v>
      </c>
      <c r="K23" s="108">
        <f>+K18-K20+K21+K22</f>
        <v>28283</v>
      </c>
      <c r="L23" s="108">
        <f>+L18-L20+L21+L22</f>
        <v>28996</v>
      </c>
      <c r="M23" s="108">
        <f t="shared" si="4"/>
        <v>26344</v>
      </c>
      <c r="N23" s="108">
        <f>+N18-N20+N21+N22</f>
        <v>29133</v>
      </c>
      <c r="O23" s="108">
        <v>31235</v>
      </c>
      <c r="P23" s="159">
        <f>+P18-P20+P21+P22</f>
        <v>30116</v>
      </c>
      <c r="Q23" s="159">
        <f>+Q18-Q20+Q21+Q22</f>
        <v>30092</v>
      </c>
      <c r="R23" s="159">
        <v>30631</v>
      </c>
      <c r="S23" s="159">
        <v>30715.096080000003</v>
      </c>
      <c r="T23" s="159">
        <f>+T18-T20+T21+T22</f>
        <v>28731</v>
      </c>
      <c r="V23" s="74" t="s">
        <v>76</v>
      </c>
      <c r="W23" s="533">
        <v>30045.10698</v>
      </c>
      <c r="X23" s="533">
        <v>33115.893020000003</v>
      </c>
      <c r="Y23" s="533">
        <v>30683.604159999992</v>
      </c>
      <c r="Z23" s="533">
        <f>+Z18+Z21+Z22</f>
        <v>27856.734360000006</v>
      </c>
      <c r="AA23" s="533">
        <f>+AA18+AA21+AA22</f>
        <v>32067.655199999994</v>
      </c>
      <c r="AB23" s="533">
        <f>+AB18+AB21+AB22</f>
        <v>40119.392850000004</v>
      </c>
    </row>
    <row r="24" spans="2:28" ht="15.6">
      <c r="B24" s="72"/>
      <c r="C24" s="67"/>
      <c r="D24" s="67"/>
      <c r="E24" s="67"/>
      <c r="F24" s="67"/>
      <c r="G24" s="67"/>
      <c r="H24" s="67"/>
      <c r="I24" s="67"/>
      <c r="J24" s="67"/>
      <c r="K24" s="67"/>
      <c r="L24" s="67"/>
      <c r="M24" s="67"/>
      <c r="N24" s="67"/>
      <c r="O24" s="67"/>
      <c r="P24" s="67"/>
      <c r="Q24" s="67"/>
      <c r="R24" s="67"/>
      <c r="S24" s="67"/>
      <c r="T24" s="67"/>
      <c r="V24" s="72"/>
      <c r="W24" s="532"/>
      <c r="X24" s="532">
        <v>0</v>
      </c>
      <c r="Y24" s="532">
        <v>0</v>
      </c>
      <c r="Z24" s="532"/>
      <c r="AA24" s="532"/>
      <c r="AB24" s="532"/>
    </row>
    <row r="25" spans="2:28" ht="15.6">
      <c r="B25" s="72" t="s">
        <v>77</v>
      </c>
      <c r="C25" s="107">
        <v>-10139</v>
      </c>
      <c r="D25" s="107">
        <v>-12892</v>
      </c>
      <c r="E25" s="107">
        <v>-6610</v>
      </c>
      <c r="F25" s="107">
        <v>-7362</v>
      </c>
      <c r="G25" s="107">
        <v>-6708</v>
      </c>
      <c r="H25" s="107">
        <v>-5977</v>
      </c>
      <c r="I25" s="107">
        <v>-6213</v>
      </c>
      <c r="J25" s="107">
        <f>-13819+7</f>
        <v>-13812</v>
      </c>
      <c r="K25" s="107">
        <v>-7203</v>
      </c>
      <c r="L25" s="107">
        <f>-5794-18</f>
        <v>-5812</v>
      </c>
      <c r="M25" s="107">
        <f>-ROUND(7043.06927,0)</f>
        <v>-7043</v>
      </c>
      <c r="N25" s="107">
        <v>-8426</v>
      </c>
      <c r="O25" s="107">
        <v>-7762</v>
      </c>
      <c r="P25" s="155">
        <v>-7773</v>
      </c>
      <c r="Q25" s="155">
        <v>-7360</v>
      </c>
      <c r="R25" s="155">
        <v>-8847</v>
      </c>
      <c r="S25" s="155">
        <v>-7160.5661899999977</v>
      </c>
      <c r="T25" s="155">
        <v>-6881</v>
      </c>
      <c r="V25" s="72" t="s">
        <v>77</v>
      </c>
      <c r="W25" s="532">
        <v>-4824.0658900000008</v>
      </c>
      <c r="X25" s="532">
        <v>-7393.4789200000005</v>
      </c>
      <c r="Y25" s="532">
        <v>-7946.3857800000014</v>
      </c>
      <c r="Z25" s="532">
        <v>3655.2803700000004</v>
      </c>
      <c r="AA25" s="532">
        <v>-2276.8604099999998</v>
      </c>
      <c r="AB25" s="532">
        <v>-2899.0464300000008</v>
      </c>
    </row>
    <row r="26" spans="2:28" ht="15.6">
      <c r="B26" s="74" t="s">
        <v>78</v>
      </c>
      <c r="C26" s="109">
        <f t="shared" ref="C26:N26" si="5">+C23+C25</f>
        <v>64054</v>
      </c>
      <c r="D26" s="109">
        <f t="shared" si="5"/>
        <v>65383</v>
      </c>
      <c r="E26" s="109">
        <f t="shared" si="5"/>
        <v>18411</v>
      </c>
      <c r="F26" s="109">
        <f t="shared" si="5"/>
        <v>18114</v>
      </c>
      <c r="G26" s="109">
        <f t="shared" si="5"/>
        <v>18451</v>
      </c>
      <c r="H26" s="109">
        <f t="shared" si="5"/>
        <v>20443</v>
      </c>
      <c r="I26" s="109">
        <f t="shared" si="5"/>
        <v>22514</v>
      </c>
      <c r="J26" s="109">
        <f t="shared" si="5"/>
        <v>15244</v>
      </c>
      <c r="K26" s="109">
        <f t="shared" si="5"/>
        <v>21080</v>
      </c>
      <c r="L26" s="109">
        <f t="shared" si="5"/>
        <v>23184</v>
      </c>
      <c r="M26" s="109">
        <f t="shared" si="5"/>
        <v>19301</v>
      </c>
      <c r="N26" s="109">
        <f t="shared" si="5"/>
        <v>20707</v>
      </c>
      <c r="O26" s="109">
        <v>23473</v>
      </c>
      <c r="P26" s="289">
        <f>+P23+P25</f>
        <v>22343</v>
      </c>
      <c r="Q26" s="289">
        <f>+Q23+Q25</f>
        <v>22732</v>
      </c>
      <c r="R26" s="289">
        <v>21784</v>
      </c>
      <c r="S26" s="289">
        <v>23554.529890000005</v>
      </c>
      <c r="T26" s="289">
        <f>+T23+T25</f>
        <v>21850</v>
      </c>
      <c r="V26" s="74" t="s">
        <v>78</v>
      </c>
      <c r="W26" s="533">
        <v>25221.041089999999</v>
      </c>
      <c r="X26" s="533">
        <v>25722.414100000002</v>
      </c>
      <c r="Y26" s="533">
        <v>22737.218379999991</v>
      </c>
      <c r="Z26" s="533">
        <f>+Z23+Z25</f>
        <v>31512.014730000006</v>
      </c>
      <c r="AA26" s="533">
        <f>+AA23+AA25</f>
        <v>29790.794789999993</v>
      </c>
      <c r="AB26" s="533">
        <v>37220.346420000002</v>
      </c>
    </row>
    <row r="27" spans="2:28" ht="15.6">
      <c r="B27" s="71"/>
      <c r="C27" s="8"/>
      <c r="D27" s="8"/>
      <c r="E27" s="8"/>
      <c r="F27" s="8"/>
      <c r="G27" s="8"/>
      <c r="H27" s="8"/>
      <c r="I27" s="8"/>
      <c r="J27" s="8"/>
      <c r="K27" s="8"/>
      <c r="L27" s="8"/>
      <c r="M27" s="8"/>
      <c r="N27" s="8"/>
      <c r="O27" s="8"/>
      <c r="P27" s="153"/>
      <c r="Q27" s="153"/>
      <c r="R27" s="153"/>
      <c r="S27" s="153"/>
      <c r="T27" s="153"/>
      <c r="V27" s="71"/>
      <c r="W27" s="534"/>
      <c r="X27" s="534">
        <v>0</v>
      </c>
      <c r="Y27" s="534">
        <v>0</v>
      </c>
      <c r="Z27" s="534"/>
      <c r="AA27" s="534"/>
      <c r="AB27" s="534"/>
    </row>
    <row r="28" spans="2:28" ht="15.6">
      <c r="B28" s="72" t="s">
        <v>79</v>
      </c>
      <c r="C28" s="107">
        <v>21027</v>
      </c>
      <c r="D28" s="107">
        <v>20810</v>
      </c>
      <c r="E28" s="107">
        <v>5794</v>
      </c>
      <c r="F28" s="107">
        <v>5691</v>
      </c>
      <c r="G28" s="107">
        <v>5679</v>
      </c>
      <c r="H28" s="107">
        <v>6558</v>
      </c>
      <c r="I28" s="107">
        <v>6894</v>
      </c>
      <c r="J28" s="107">
        <v>4476</v>
      </c>
      <c r="K28" s="107">
        <v>6566</v>
      </c>
      <c r="L28" s="107">
        <v>6727</v>
      </c>
      <c r="M28" s="107">
        <v>5790</v>
      </c>
      <c r="N28" s="107">
        <v>6200</v>
      </c>
      <c r="O28" s="107">
        <v>6955</v>
      </c>
      <c r="P28" s="155">
        <v>6895</v>
      </c>
      <c r="Q28" s="155">
        <v>-6707</v>
      </c>
      <c r="R28" s="155">
        <v>6436</v>
      </c>
      <c r="S28" s="155">
        <v>7217.3583299999991</v>
      </c>
      <c r="T28" s="155">
        <v>6505</v>
      </c>
      <c r="V28" s="72" t="s">
        <v>79</v>
      </c>
      <c r="W28" s="532">
        <v>7515.38591</v>
      </c>
      <c r="X28" s="532">
        <v>7643.8270600000005</v>
      </c>
      <c r="Y28" s="532">
        <v>6798.2382799999968</v>
      </c>
      <c r="Z28" s="532">
        <v>-54238.126189999995</v>
      </c>
      <c r="AA28" s="532">
        <v>-9261.675369999999</v>
      </c>
      <c r="AB28" s="532">
        <v>-11347.034090000003</v>
      </c>
    </row>
    <row r="29" spans="2:28" ht="15.6">
      <c r="B29" s="74" t="s">
        <v>82</v>
      </c>
      <c r="C29" s="109">
        <f t="shared" ref="C29:N29" si="6">+C26-C28</f>
        <v>43027</v>
      </c>
      <c r="D29" s="109">
        <f t="shared" si="6"/>
        <v>44573</v>
      </c>
      <c r="E29" s="109">
        <f t="shared" si="6"/>
        <v>12617</v>
      </c>
      <c r="F29" s="109">
        <f t="shared" si="6"/>
        <v>12423</v>
      </c>
      <c r="G29" s="109">
        <f t="shared" si="6"/>
        <v>12772</v>
      </c>
      <c r="H29" s="109">
        <f t="shared" si="6"/>
        <v>13885</v>
      </c>
      <c r="I29" s="109">
        <f t="shared" si="6"/>
        <v>15620</v>
      </c>
      <c r="J29" s="109">
        <f t="shared" si="6"/>
        <v>10768</v>
      </c>
      <c r="K29" s="109">
        <f t="shared" si="6"/>
        <v>14514</v>
      </c>
      <c r="L29" s="109">
        <f t="shared" si="6"/>
        <v>16457</v>
      </c>
      <c r="M29" s="109">
        <f t="shared" si="6"/>
        <v>13511</v>
      </c>
      <c r="N29" s="109">
        <f t="shared" si="6"/>
        <v>14507</v>
      </c>
      <c r="O29" s="109">
        <v>16518</v>
      </c>
      <c r="P29" s="289">
        <f>+P26-P28</f>
        <v>15448</v>
      </c>
      <c r="Q29" s="289">
        <f>+Q26-Q28</f>
        <v>29439</v>
      </c>
      <c r="R29" s="289">
        <v>15348</v>
      </c>
      <c r="S29" s="289">
        <v>16337.171560000006</v>
      </c>
      <c r="T29" s="289">
        <f>+T26-T28</f>
        <v>15345</v>
      </c>
      <c r="V29" s="74" t="s">
        <v>82</v>
      </c>
      <c r="W29" s="533">
        <v>17705.655179999998</v>
      </c>
      <c r="X29" s="533">
        <v>18078.587040000002</v>
      </c>
      <c r="Y29" s="533">
        <v>15938.980099999993</v>
      </c>
      <c r="Z29" s="533">
        <f t="shared" ref="Z29:AA29" si="7">+Z26+Z28</f>
        <v>-22726.111459999989</v>
      </c>
      <c r="AA29" s="533">
        <f t="shared" si="7"/>
        <v>20529.119419999995</v>
      </c>
      <c r="AB29" s="533">
        <v>25873.312330000001</v>
      </c>
    </row>
    <row r="30" spans="2:28" ht="15.6">
      <c r="B30" s="131"/>
      <c r="C30" s="138"/>
      <c r="D30" s="138"/>
      <c r="E30" s="138"/>
      <c r="F30" s="138"/>
      <c r="G30" s="138"/>
      <c r="H30" s="138"/>
      <c r="I30" s="138"/>
      <c r="J30" s="138"/>
      <c r="K30" s="138"/>
      <c r="L30" s="138"/>
      <c r="M30" s="138"/>
      <c r="N30" s="138"/>
      <c r="O30" s="138"/>
      <c r="P30" s="157"/>
      <c r="Q30" s="157"/>
      <c r="R30" s="157"/>
      <c r="S30" s="157"/>
      <c r="W30" s="447"/>
      <c r="X30" s="447">
        <v>0</v>
      </c>
      <c r="Y30" s="447">
        <v>0</v>
      </c>
      <c r="Z30" s="447"/>
      <c r="AA30" s="447"/>
      <c r="AB30" s="447"/>
    </row>
    <row r="31" spans="2:28" ht="15.6">
      <c r="B31" s="131"/>
      <c r="C31" s="138"/>
      <c r="D31" s="138"/>
      <c r="E31" s="138"/>
      <c r="F31" s="138"/>
      <c r="G31" s="138"/>
      <c r="H31" s="138"/>
      <c r="I31" s="138"/>
      <c r="J31" s="138"/>
      <c r="K31" s="138"/>
      <c r="L31" s="138"/>
      <c r="M31" s="138"/>
      <c r="N31" s="138"/>
      <c r="O31" s="138"/>
      <c r="P31" s="157"/>
      <c r="Q31" s="157"/>
      <c r="R31" s="157"/>
      <c r="S31" s="157"/>
      <c r="W31" s="447"/>
      <c r="X31" s="447">
        <v>0</v>
      </c>
      <c r="Y31" s="447">
        <v>0</v>
      </c>
      <c r="Z31" s="447"/>
      <c r="AA31" s="447"/>
      <c r="AB31" s="447"/>
    </row>
    <row r="32" spans="2:28" ht="15.6">
      <c r="B32" s="132"/>
      <c r="C32" s="132"/>
      <c r="D32" s="132"/>
      <c r="E32" s="132"/>
      <c r="F32" s="132"/>
      <c r="G32" s="132"/>
      <c r="H32" s="132"/>
      <c r="I32" s="132"/>
      <c r="J32" s="132"/>
      <c r="K32" s="132"/>
      <c r="L32" s="132"/>
      <c r="M32" s="132"/>
      <c r="N32" s="132"/>
      <c r="O32" s="132"/>
      <c r="P32" s="132"/>
      <c r="Q32" s="132"/>
      <c r="R32" s="132"/>
      <c r="S32" s="132"/>
      <c r="V32" s="74" t="s">
        <v>84</v>
      </c>
      <c r="W32" s="533">
        <v>43770.534</v>
      </c>
      <c r="X32" s="533">
        <v>46510.275810000006</v>
      </c>
      <c r="Y32" s="533">
        <v>44072.74338</v>
      </c>
      <c r="Z32" s="533">
        <f>+Z18+Z17</f>
        <v>45360.539199999999</v>
      </c>
      <c r="AA32" s="533">
        <f>+AA18+AA17</f>
        <v>46028.441099999996</v>
      </c>
      <c r="AB32" s="533">
        <v>54052.672800000008</v>
      </c>
    </row>
    <row r="33" spans="1:28" ht="15.6">
      <c r="A33" s="48" t="s">
        <v>137</v>
      </c>
      <c r="B33" s="11" t="s">
        <v>388</v>
      </c>
      <c r="C33" s="29"/>
      <c r="D33" s="29"/>
      <c r="E33" s="30"/>
      <c r="F33" s="29"/>
      <c r="G33" s="29"/>
      <c r="H33" s="29"/>
      <c r="I33" s="30"/>
      <c r="J33" s="29"/>
      <c r="K33" s="29"/>
      <c r="L33" s="29"/>
      <c r="M33" s="30"/>
      <c r="N33" s="29"/>
      <c r="O33" s="29"/>
      <c r="P33" s="29"/>
      <c r="Q33" s="29"/>
      <c r="R33" s="29"/>
      <c r="S33" s="29"/>
    </row>
    <row r="34" spans="1:28" ht="15.6">
      <c r="B34" s="13" t="s">
        <v>385</v>
      </c>
      <c r="C34" s="132"/>
      <c r="D34" s="132"/>
      <c r="E34" s="132"/>
      <c r="F34" s="132"/>
      <c r="G34" s="132"/>
      <c r="H34" s="132"/>
      <c r="I34" s="132"/>
      <c r="J34" s="132"/>
      <c r="K34" s="132"/>
      <c r="L34" s="132"/>
      <c r="M34" s="132"/>
      <c r="N34" s="132"/>
      <c r="O34" s="132"/>
      <c r="P34" s="132"/>
      <c r="Q34" s="132"/>
      <c r="R34" s="132"/>
      <c r="S34" s="132"/>
    </row>
    <row r="35" spans="1:28" ht="15.6">
      <c r="B35" s="13"/>
      <c r="C35" s="132"/>
      <c r="D35" s="132"/>
      <c r="E35" s="132"/>
      <c r="F35" s="132"/>
      <c r="G35" s="132"/>
      <c r="H35" s="132"/>
      <c r="I35" s="132"/>
      <c r="J35" s="132"/>
      <c r="K35" s="132"/>
      <c r="L35" s="132"/>
      <c r="M35" s="132"/>
      <c r="N35" s="132"/>
      <c r="O35" s="132"/>
      <c r="P35" s="132"/>
      <c r="Q35" s="132"/>
      <c r="R35" s="132"/>
      <c r="S35" s="132"/>
    </row>
    <row r="36" spans="1:28" ht="15.6" thickBot="1">
      <c r="B36" s="250"/>
      <c r="C36" s="251"/>
      <c r="D36" s="251"/>
      <c r="E36" s="251"/>
      <c r="F36" s="251"/>
      <c r="G36" s="251"/>
      <c r="H36" s="251"/>
      <c r="I36" s="251"/>
      <c r="J36" s="251"/>
      <c r="K36" s="251"/>
      <c r="L36" s="251"/>
      <c r="M36" s="251"/>
      <c r="N36" s="251"/>
      <c r="O36" s="251"/>
      <c r="P36" s="251"/>
      <c r="Q36" s="251"/>
      <c r="R36" s="251"/>
      <c r="S36" s="251"/>
      <c r="T36" s="251"/>
      <c r="V36" s="250"/>
      <c r="W36" s="251"/>
      <c r="X36" s="251"/>
      <c r="Y36" s="251"/>
      <c r="Z36" s="251"/>
      <c r="AA36" s="251"/>
      <c r="AB36" s="251"/>
    </row>
    <row r="37" spans="1:28" ht="15.6" thickBot="1">
      <c r="B37" s="113" t="s">
        <v>88</v>
      </c>
      <c r="C37" s="114"/>
      <c r="D37" s="114"/>
      <c r="E37" s="114"/>
      <c r="F37" s="114"/>
      <c r="G37" s="114"/>
      <c r="H37" s="114"/>
      <c r="I37" s="114"/>
      <c r="J37" s="114"/>
      <c r="K37" s="114"/>
      <c r="L37" s="114"/>
      <c r="M37" s="114"/>
      <c r="N37" s="114"/>
      <c r="O37" s="114"/>
      <c r="P37" s="114"/>
      <c r="Q37" s="114"/>
      <c r="R37" s="114"/>
      <c r="S37" s="114"/>
      <c r="T37" s="114"/>
      <c r="V37" s="113" t="s">
        <v>88</v>
      </c>
      <c r="W37" s="114"/>
      <c r="X37" s="114"/>
      <c r="Y37" s="114"/>
      <c r="Z37" s="114"/>
      <c r="AA37" s="114"/>
      <c r="AB37" s="114"/>
    </row>
    <row r="38" spans="1:28" ht="15.6" thickBot="1">
      <c r="B38" s="115" t="s">
        <v>89</v>
      </c>
      <c r="C38" s="116"/>
      <c r="D38" s="116"/>
      <c r="E38" s="116"/>
      <c r="F38" s="116"/>
      <c r="G38" s="116"/>
      <c r="H38" s="116"/>
      <c r="I38" s="116"/>
      <c r="J38" s="116"/>
      <c r="K38" s="116"/>
      <c r="L38" s="116"/>
      <c r="M38" s="116"/>
      <c r="N38" s="139"/>
      <c r="O38" s="139"/>
      <c r="P38" s="139"/>
      <c r="Q38" s="139"/>
      <c r="R38" s="139"/>
      <c r="S38" s="139"/>
      <c r="T38" s="139"/>
      <c r="V38" s="115" t="s">
        <v>89</v>
      </c>
      <c r="W38" s="139"/>
      <c r="X38" s="139"/>
      <c r="Y38" s="139"/>
      <c r="Z38" s="139"/>
      <c r="AA38" s="139"/>
      <c r="AB38" s="139"/>
    </row>
    <row r="39" spans="1:28" ht="15.6">
      <c r="B39" s="72" t="s">
        <v>90</v>
      </c>
      <c r="C39" s="107">
        <v>3100.344599999974</v>
      </c>
      <c r="D39" s="107">
        <v>22845.066629999998</v>
      </c>
      <c r="E39" s="107">
        <v>70681.831069999986</v>
      </c>
      <c r="F39" s="107">
        <v>9464.051300000001</v>
      </c>
      <c r="G39" s="107">
        <v>17494.000309999999</v>
      </c>
      <c r="H39" s="107">
        <v>24390.453149999998</v>
      </c>
      <c r="I39" s="107">
        <v>26200.126370000002</v>
      </c>
      <c r="J39" s="107">
        <v>48222.839619999999</v>
      </c>
      <c r="K39" s="107">
        <v>56073.660929999998</v>
      </c>
      <c r="L39" s="107">
        <v>34742.533000000003</v>
      </c>
      <c r="M39" s="107">
        <v>60515.888200000001</v>
      </c>
      <c r="N39" s="107">
        <v>77607.050920000009</v>
      </c>
      <c r="O39" s="107">
        <v>190640</v>
      </c>
      <c r="P39" s="155">
        <v>69361</v>
      </c>
      <c r="Q39" s="155">
        <v>53381</v>
      </c>
      <c r="R39" s="155">
        <v>120800</v>
      </c>
      <c r="S39" s="155">
        <v>73810.39181999999</v>
      </c>
      <c r="T39" s="155">
        <v>51935</v>
      </c>
      <c r="V39" s="72" t="s">
        <v>90</v>
      </c>
      <c r="W39" s="155">
        <v>75447.950700000001</v>
      </c>
      <c r="X39" s="155">
        <v>25622.302030000003</v>
      </c>
      <c r="Y39" s="155">
        <v>32333.789079999999</v>
      </c>
      <c r="Z39" s="155">
        <f>(8732807/1000)</f>
        <v>8732.8070000000007</v>
      </c>
      <c r="AA39" s="155">
        <v>33367.067069999997</v>
      </c>
      <c r="AB39" s="155">
        <v>29309.611000000001</v>
      </c>
    </row>
    <row r="40" spans="1:28" ht="15.6">
      <c r="B40" s="72" t="s">
        <v>389</v>
      </c>
      <c r="C40" s="107">
        <v>12810.560829999999</v>
      </c>
      <c r="D40" s="107">
        <v>17902.028999999999</v>
      </c>
      <c r="E40" s="107">
        <v>18674.970209999999</v>
      </c>
      <c r="F40" s="107">
        <v>19132.43346</v>
      </c>
      <c r="G40" s="107">
        <v>19834.966769999999</v>
      </c>
      <c r="H40" s="107">
        <v>22121.309000000001</v>
      </c>
      <c r="I40" s="107">
        <v>21651.036929999998</v>
      </c>
      <c r="J40" s="107">
        <v>21802.442440000003</v>
      </c>
      <c r="K40" s="107">
        <v>21421.465769999999</v>
      </c>
      <c r="L40" s="107">
        <v>22929.362000000001</v>
      </c>
      <c r="M40" s="107">
        <v>22076.112920000003</v>
      </c>
      <c r="N40" s="107">
        <v>23792.642019999999</v>
      </c>
      <c r="O40" s="107">
        <v>25650</v>
      </c>
      <c r="P40" s="155">
        <v>27395</v>
      </c>
      <c r="Q40" s="155">
        <v>29095</v>
      </c>
      <c r="R40" s="155">
        <v>31157</v>
      </c>
      <c r="S40" s="155">
        <v>32158.946390000001</v>
      </c>
      <c r="T40" s="155">
        <v>31603</v>
      </c>
      <c r="V40" s="72" t="s">
        <v>389</v>
      </c>
      <c r="W40" s="155">
        <v>24537.460449999999</v>
      </c>
      <c r="X40" s="155">
        <v>26017.917659999999</v>
      </c>
      <c r="Y40" s="155">
        <v>24729.957850000003</v>
      </c>
      <c r="Z40" s="155">
        <f>(21930053/1000)</f>
        <v>21930.053</v>
      </c>
      <c r="AA40" s="155">
        <v>17443.904340000001</v>
      </c>
      <c r="AB40" s="155">
        <v>21069.143</v>
      </c>
    </row>
    <row r="41" spans="1:28" ht="15.6">
      <c r="B41" s="72" t="s">
        <v>390</v>
      </c>
      <c r="C41" s="107">
        <v>49989.800999999999</v>
      </c>
      <c r="D41" s="107">
        <v>17941.57</v>
      </c>
      <c r="E41" s="107">
        <v>16585.751039999999</v>
      </c>
      <c r="F41" s="107">
        <v>23471.900320000001</v>
      </c>
      <c r="G41" s="107">
        <v>23591.421739999998</v>
      </c>
      <c r="H41" s="107">
        <v>15075.039000000001</v>
      </c>
      <c r="I41" s="107">
        <v>19694.16762</v>
      </c>
      <c r="J41" s="107">
        <v>25493.541989999998</v>
      </c>
      <c r="K41" s="107">
        <v>29403.13377</v>
      </c>
      <c r="L41" s="107">
        <v>22255.904999999999</v>
      </c>
      <c r="M41" s="107">
        <v>29651.705600000001</v>
      </c>
      <c r="N41" s="107">
        <v>28825.336380000001</v>
      </c>
      <c r="O41" s="107">
        <v>12884</v>
      </c>
      <c r="P41" s="155">
        <v>19514</v>
      </c>
      <c r="Q41" s="155">
        <v>23111</v>
      </c>
      <c r="R41" s="155">
        <v>26560</v>
      </c>
      <c r="S41" s="155">
        <v>32588.31911</v>
      </c>
      <c r="T41" s="155">
        <v>27192</v>
      </c>
      <c r="V41" s="72" t="s">
        <v>390</v>
      </c>
      <c r="W41" s="155">
        <v>30419.750980000004</v>
      </c>
      <c r="X41" s="155">
        <v>36487.189470000005</v>
      </c>
      <c r="Y41" s="155">
        <v>41794.516629999998</v>
      </c>
      <c r="Z41" s="155">
        <f>(33614395.16/1000)</f>
        <v>33614.39516</v>
      </c>
      <c r="AA41" s="155">
        <v>1805.9747</v>
      </c>
      <c r="AB41" s="155">
        <v>1424.88</v>
      </c>
    </row>
    <row r="42" spans="1:28" ht="15.6">
      <c r="B42" s="72" t="s">
        <v>391</v>
      </c>
      <c r="C42" s="107">
        <v>5982.3008300000001</v>
      </c>
      <c r="D42" s="107">
        <v>3611.2267599999996</v>
      </c>
      <c r="E42" s="107">
        <v>4010.4315799999999</v>
      </c>
      <c r="F42" s="107">
        <v>4291.6916799999999</v>
      </c>
      <c r="G42" s="107">
        <v>4152.8440000000001</v>
      </c>
      <c r="H42" s="107">
        <v>5643.4131900000002</v>
      </c>
      <c r="I42" s="107">
        <v>5656.2311900000004</v>
      </c>
      <c r="J42" s="107">
        <v>5944.5310300000001</v>
      </c>
      <c r="K42" s="107">
        <v>5872.55357</v>
      </c>
      <c r="L42" s="107">
        <v>5777.8597499999996</v>
      </c>
      <c r="M42" s="107">
        <v>5696.3175700000002</v>
      </c>
      <c r="N42" s="107">
        <v>5735.0665799999997</v>
      </c>
      <c r="O42" s="107">
        <v>5988</v>
      </c>
      <c r="P42" s="155">
        <v>6263</v>
      </c>
      <c r="Q42" s="155">
        <v>6276</v>
      </c>
      <c r="R42" s="155">
        <v>6405</v>
      </c>
      <c r="S42" s="155">
        <v>6367.4235399999998</v>
      </c>
      <c r="T42" s="155">
        <v>6506</v>
      </c>
      <c r="V42" s="72" t="s">
        <v>391</v>
      </c>
      <c r="W42" s="155">
        <v>6395.9930400000003</v>
      </c>
      <c r="X42" s="155">
        <v>6375.2903099999994</v>
      </c>
      <c r="Y42" s="155">
        <v>7104.0752699999994</v>
      </c>
      <c r="Z42" s="155">
        <f>(6507467.5/1000)</f>
        <v>6507.4674999999997</v>
      </c>
      <c r="AA42" s="155">
        <v>38366.668279999998</v>
      </c>
      <c r="AB42" s="155">
        <v>40784.928</v>
      </c>
    </row>
    <row r="43" spans="1:28" ht="15.6">
      <c r="B43" s="72" t="s">
        <v>392</v>
      </c>
      <c r="C43" s="107">
        <v>640.41286000000002</v>
      </c>
      <c r="D43" s="107">
        <v>884.24045999999998</v>
      </c>
      <c r="E43" s="107">
        <v>508.52312999999998</v>
      </c>
      <c r="F43" s="107">
        <v>100.48341000000001</v>
      </c>
      <c r="G43" s="107">
        <v>2835.7186000000002</v>
      </c>
      <c r="H43" s="107">
        <v>2309.1588999999999</v>
      </c>
      <c r="I43" s="107">
        <v>1847.0334399999999</v>
      </c>
      <c r="J43" s="107">
        <v>1382.75173</v>
      </c>
      <c r="K43" s="107">
        <v>1438.3046899999999</v>
      </c>
      <c r="L43" s="107">
        <v>1110.6847499999999</v>
      </c>
      <c r="M43" s="107">
        <v>3141.8599700000004</v>
      </c>
      <c r="N43" s="107">
        <v>2286.6473900000001</v>
      </c>
      <c r="O43" s="107">
        <v>3247</v>
      </c>
      <c r="P43" s="155">
        <v>2535</v>
      </c>
      <c r="Q43" s="155">
        <v>1886</v>
      </c>
      <c r="R43" s="155">
        <v>855</v>
      </c>
      <c r="S43" s="155">
        <v>3241.9642399999998</v>
      </c>
      <c r="T43" s="155">
        <v>2715</v>
      </c>
      <c r="V43" s="72" t="s">
        <v>392</v>
      </c>
      <c r="W43" s="155">
        <v>2535.1574599999999</v>
      </c>
      <c r="X43" s="155">
        <v>1916.0275200000001</v>
      </c>
      <c r="Y43" s="155">
        <v>1388.31096</v>
      </c>
      <c r="Z43" s="155">
        <f>(763219.83/1000)</f>
        <v>763.21983</v>
      </c>
      <c r="AA43" s="155">
        <v>6483.1007699999991</v>
      </c>
      <c r="AB43" s="155">
        <v>6314.723</v>
      </c>
    </row>
    <row r="44" spans="1:28" ht="15.6">
      <c r="B44" s="72" t="s">
        <v>166</v>
      </c>
      <c r="C44" s="107">
        <v>0</v>
      </c>
      <c r="D44" s="107">
        <v>0</v>
      </c>
      <c r="E44" s="107">
        <v>0</v>
      </c>
      <c r="F44" s="107">
        <v>0</v>
      </c>
      <c r="G44" s="107">
        <v>0</v>
      </c>
      <c r="H44" s="107">
        <v>0</v>
      </c>
      <c r="I44" s="107">
        <v>0</v>
      </c>
      <c r="J44" s="107">
        <v>0</v>
      </c>
      <c r="K44" s="107">
        <v>0</v>
      </c>
      <c r="L44" s="107">
        <v>16800</v>
      </c>
      <c r="M44" s="107">
        <v>0</v>
      </c>
      <c r="N44" s="107">
        <v>0</v>
      </c>
      <c r="O44" s="107">
        <v>0</v>
      </c>
      <c r="P44" s="155">
        <v>87162</v>
      </c>
      <c r="Q44" s="155">
        <v>101467</v>
      </c>
      <c r="R44" s="155">
        <v>0</v>
      </c>
      <c r="S44" s="155">
        <v>0</v>
      </c>
      <c r="T44" s="155">
        <v>0</v>
      </c>
      <c r="V44" s="72" t="s">
        <v>166</v>
      </c>
      <c r="W44" s="155">
        <v>0</v>
      </c>
      <c r="X44" s="155">
        <v>0</v>
      </c>
      <c r="Y44" s="155">
        <v>0</v>
      </c>
      <c r="Z44" s="155"/>
      <c r="AA44" s="155">
        <v>0</v>
      </c>
      <c r="AB44" s="155">
        <v>0</v>
      </c>
    </row>
    <row r="45" spans="1:28" ht="15.6">
      <c r="B45" s="72" t="s">
        <v>393</v>
      </c>
      <c r="C45" s="107">
        <v>1199.6198100000001</v>
      </c>
      <c r="D45" s="107">
        <v>228.60698000000002</v>
      </c>
      <c r="E45" s="107">
        <v>14306.933789999999</v>
      </c>
      <c r="F45" s="107">
        <v>16859.066079999997</v>
      </c>
      <c r="G45" s="107">
        <v>21160.5255</v>
      </c>
      <c r="H45" s="107">
        <v>25120.717840000001</v>
      </c>
      <c r="I45" s="107">
        <v>25053.772639999999</v>
      </c>
      <c r="J45" s="107">
        <v>25293.328850000002</v>
      </c>
      <c r="K45" s="107">
        <v>28194.066269999999</v>
      </c>
      <c r="L45" s="107">
        <v>26294.862000000001</v>
      </c>
      <c r="M45" s="107">
        <v>20390.904190000001</v>
      </c>
      <c r="N45" s="107">
        <v>18834.96312</v>
      </c>
      <c r="O45" s="107">
        <v>23028</v>
      </c>
      <c r="P45" s="155">
        <v>43538</v>
      </c>
      <c r="Q45" s="155">
        <v>27435</v>
      </c>
      <c r="R45" s="155">
        <v>21275</v>
      </c>
      <c r="S45" s="155">
        <v>16845.141420000004</v>
      </c>
      <c r="T45" s="155">
        <v>12536</v>
      </c>
      <c r="V45" s="72" t="s">
        <v>393</v>
      </c>
      <c r="W45" s="155">
        <v>10754.84201</v>
      </c>
      <c r="X45" s="155">
        <v>10686.7737</v>
      </c>
      <c r="Y45" s="155">
        <v>7014.1795199999997</v>
      </c>
      <c r="Z45" s="155">
        <f>(3574501.02/1000)</f>
        <v>3574.5010200000002</v>
      </c>
      <c r="AA45" s="155">
        <v>4066.76073</v>
      </c>
      <c r="AB45" s="155">
        <v>0</v>
      </c>
    </row>
    <row r="46" spans="1:28" ht="15.6">
      <c r="B46" s="72" t="s">
        <v>394</v>
      </c>
      <c r="C46" s="107">
        <v>0</v>
      </c>
      <c r="D46" s="107">
        <v>0</v>
      </c>
      <c r="E46" s="107">
        <v>0</v>
      </c>
      <c r="F46" s="107">
        <v>0</v>
      </c>
      <c r="G46" s="107">
        <v>0</v>
      </c>
      <c r="H46" s="107">
        <v>0</v>
      </c>
      <c r="I46" s="107">
        <v>0</v>
      </c>
      <c r="J46" s="107">
        <v>0</v>
      </c>
      <c r="K46" s="107">
        <v>0</v>
      </c>
      <c r="L46" s="107">
        <v>0</v>
      </c>
      <c r="M46" s="107">
        <v>0</v>
      </c>
      <c r="N46" s="107">
        <v>0</v>
      </c>
      <c r="O46" s="107">
        <v>0</v>
      </c>
      <c r="P46" s="155">
        <v>2104</v>
      </c>
      <c r="Q46" s="155">
        <v>2025</v>
      </c>
      <c r="R46" s="155">
        <v>390</v>
      </c>
      <c r="S46" s="155">
        <v>743.18207999999993</v>
      </c>
      <c r="T46" s="155">
        <v>1154</v>
      </c>
      <c r="V46" s="72" t="s">
        <v>394</v>
      </c>
      <c r="W46" s="155">
        <v>0</v>
      </c>
      <c r="X46" s="155">
        <v>840.81047999999998</v>
      </c>
      <c r="Y46" s="155">
        <v>0</v>
      </c>
      <c r="Z46" s="155"/>
      <c r="AA46" s="155">
        <v>0</v>
      </c>
      <c r="AB46" s="155">
        <v>0</v>
      </c>
    </row>
    <row r="47" spans="1:28" ht="16.2" thickBot="1">
      <c r="B47" s="72" t="s">
        <v>395</v>
      </c>
      <c r="C47" s="107">
        <v>0</v>
      </c>
      <c r="D47" s="107">
        <v>0</v>
      </c>
      <c r="E47" s="107">
        <v>0</v>
      </c>
      <c r="F47" s="107">
        <v>0</v>
      </c>
      <c r="G47" s="107">
        <v>0</v>
      </c>
      <c r="H47" s="107">
        <v>0</v>
      </c>
      <c r="I47" s="107">
        <v>0</v>
      </c>
      <c r="J47" s="107">
        <v>0</v>
      </c>
      <c r="K47" s="107">
        <v>0</v>
      </c>
      <c r="L47" s="107">
        <v>0</v>
      </c>
      <c r="M47" s="107">
        <v>0</v>
      </c>
      <c r="N47" s="107">
        <v>0</v>
      </c>
      <c r="O47" s="107">
        <v>0</v>
      </c>
      <c r="P47" s="155">
        <v>8719</v>
      </c>
      <c r="Q47" s="155">
        <v>8579</v>
      </c>
      <c r="R47" s="155">
        <v>8579</v>
      </c>
      <c r="S47" s="155">
        <v>8578.9844200000007</v>
      </c>
      <c r="T47" s="155">
        <v>8599</v>
      </c>
      <c r="V47" s="72" t="s">
        <v>395</v>
      </c>
      <c r="W47" s="155">
        <v>0</v>
      </c>
      <c r="X47" s="155">
        <v>0</v>
      </c>
      <c r="Y47" s="155">
        <v>0</v>
      </c>
      <c r="Z47" s="155">
        <f>(3815981.08/1000)</f>
        <v>3815.98108</v>
      </c>
      <c r="AA47" s="155">
        <v>3495.7228999999998</v>
      </c>
      <c r="AB47" s="155">
        <v>2694.27</v>
      </c>
    </row>
    <row r="48" spans="1:28" ht="15.6" thickBot="1">
      <c r="B48" s="118" t="s">
        <v>96</v>
      </c>
      <c r="C48" s="119">
        <v>73723.039929999984</v>
      </c>
      <c r="D48" s="119">
        <v>63412.739829999991</v>
      </c>
      <c r="E48" s="119">
        <v>124768.44081999999</v>
      </c>
      <c r="F48" s="119">
        <v>73319.626250000001</v>
      </c>
      <c r="G48" s="119">
        <v>89069.476920000001</v>
      </c>
      <c r="H48" s="119">
        <v>94660.091079999998</v>
      </c>
      <c r="I48" s="119">
        <v>100102.36819000001</v>
      </c>
      <c r="J48" s="119">
        <v>128139.43566</v>
      </c>
      <c r="K48" s="119">
        <v>142403.185</v>
      </c>
      <c r="L48" s="119">
        <v>129911.2065</v>
      </c>
      <c r="M48" s="119">
        <v>141472.78844999999</v>
      </c>
      <c r="N48" s="140">
        <v>157081.70641000001</v>
      </c>
      <c r="O48" s="140">
        <v>261437</v>
      </c>
      <c r="P48" s="140">
        <f>SUM(P39:P47)</f>
        <v>266591</v>
      </c>
      <c r="Q48" s="140">
        <f>SUM(Q39:Q47)</f>
        <v>253255</v>
      </c>
      <c r="R48" s="140">
        <v>216021</v>
      </c>
      <c r="S48" s="140">
        <v>174334.35301999998</v>
      </c>
      <c r="T48" s="140">
        <f>SUM(T39:T47)</f>
        <v>142240</v>
      </c>
      <c r="V48" s="118" t="s">
        <v>96</v>
      </c>
      <c r="W48" s="140">
        <v>150091.15463999999</v>
      </c>
      <c r="X48" s="140">
        <v>107946.31117000002</v>
      </c>
      <c r="Y48" s="140">
        <v>114364.82931</v>
      </c>
      <c r="Z48" s="140">
        <f t="shared" ref="Z48:AA48" si="8">+SUM(Z39:Z47)</f>
        <v>78938.424589999995</v>
      </c>
      <c r="AA48" s="140">
        <f t="shared" si="8"/>
        <v>105029.19878999999</v>
      </c>
      <c r="AB48" s="140">
        <v>101597.55500000001</v>
      </c>
    </row>
    <row r="49" spans="2:28" ht="15.6" thickBot="1">
      <c r="B49" s="115" t="s">
        <v>97</v>
      </c>
      <c r="C49" s="116"/>
      <c r="D49" s="116"/>
      <c r="E49" s="116"/>
      <c r="F49" s="116"/>
      <c r="G49" s="116"/>
      <c r="H49" s="116"/>
      <c r="I49" s="116"/>
      <c r="J49" s="116"/>
      <c r="K49" s="116"/>
      <c r="L49" s="116"/>
      <c r="M49" s="116"/>
      <c r="N49" s="139"/>
      <c r="O49" s="139"/>
      <c r="P49" s="139"/>
      <c r="Q49" s="139"/>
      <c r="R49" s="139"/>
      <c r="S49" s="139"/>
      <c r="T49" s="139"/>
      <c r="V49" s="115" t="s">
        <v>97</v>
      </c>
      <c r="W49" s="139"/>
      <c r="X49" s="139"/>
      <c r="Y49" s="139"/>
      <c r="Z49" s="139"/>
      <c r="AA49" s="139"/>
      <c r="AB49" s="139"/>
    </row>
    <row r="50" spans="2:28" ht="15.6">
      <c r="B50" s="72" t="s">
        <v>389</v>
      </c>
      <c r="C50" s="107">
        <v>26053.380960000002</v>
      </c>
      <c r="D50" s="107">
        <v>25684.456999999999</v>
      </c>
      <c r="E50" s="107">
        <v>25924.948499999999</v>
      </c>
      <c r="F50" s="107">
        <v>26158.257160000001</v>
      </c>
      <c r="G50" s="107">
        <v>25897.892800000001</v>
      </c>
      <c r="H50" s="107">
        <v>25359.716</v>
      </c>
      <c r="I50" s="107">
        <v>25531.869409999999</v>
      </c>
      <c r="J50" s="107">
        <v>25760.963500000002</v>
      </c>
      <c r="K50" s="107">
        <v>25469.4611</v>
      </c>
      <c r="L50" s="107">
        <v>24672.55</v>
      </c>
      <c r="M50" s="107">
        <v>24818.98717</v>
      </c>
      <c r="N50" s="107">
        <v>24840.810519999999</v>
      </c>
      <c r="O50" s="107">
        <v>24498</v>
      </c>
      <c r="P50" s="155">
        <v>23676</v>
      </c>
      <c r="Q50" s="155">
        <v>23314</v>
      </c>
      <c r="R50" s="155">
        <v>23126</v>
      </c>
      <c r="S50" s="155">
        <v>22737.269250000001</v>
      </c>
      <c r="T50" s="155">
        <v>22340</v>
      </c>
      <c r="V50" s="72" t="s">
        <v>389</v>
      </c>
      <c r="W50" s="155">
        <v>21934.56265</v>
      </c>
      <c r="X50" s="155">
        <v>22659.29322</v>
      </c>
      <c r="Y50" s="155">
        <v>22198.698670000002</v>
      </c>
      <c r="Z50" s="155">
        <f>(21730545.99/1000)</f>
        <v>21730.545989999999</v>
      </c>
      <c r="AA50" s="155">
        <v>21255.147140000001</v>
      </c>
      <c r="AB50" s="155">
        <v>22566.886999999999</v>
      </c>
    </row>
    <row r="51" spans="2:28" ht="15.6">
      <c r="B51" s="72" t="s">
        <v>390</v>
      </c>
      <c r="C51" s="107">
        <v>69146.199519999995</v>
      </c>
      <c r="D51" s="107">
        <v>73285.566999999995</v>
      </c>
      <c r="E51" s="107">
        <v>72258.835459999988</v>
      </c>
      <c r="F51" s="107">
        <v>69444.461089999997</v>
      </c>
      <c r="G51" s="107">
        <v>69033.159480000002</v>
      </c>
      <c r="H51" s="107">
        <v>71863.791089999999</v>
      </c>
      <c r="I51" s="107">
        <v>71883.734169999996</v>
      </c>
      <c r="J51" s="107">
        <v>72511.895310000007</v>
      </c>
      <c r="K51" s="107">
        <v>84611.131859999994</v>
      </c>
      <c r="L51" s="107">
        <v>102298.921</v>
      </c>
      <c r="M51" s="107">
        <v>112089.21623999999</v>
      </c>
      <c r="N51" s="107">
        <v>114768.61337000001</v>
      </c>
      <c r="O51" s="107">
        <v>120646</v>
      </c>
      <c r="P51" s="155">
        <v>127788</v>
      </c>
      <c r="Q51" s="155">
        <v>131110</v>
      </c>
      <c r="R51" s="155">
        <v>132757</v>
      </c>
      <c r="S51" s="155">
        <v>133600.05601999999</v>
      </c>
      <c r="T51" s="155">
        <v>135582</v>
      </c>
      <c r="V51" s="72" t="s">
        <v>390</v>
      </c>
      <c r="W51" s="155">
        <v>134230.51102999999</v>
      </c>
      <c r="X51" s="155">
        <v>134124.16404999999</v>
      </c>
      <c r="Y51" s="155">
        <v>134827.08262</v>
      </c>
      <c r="Z51" s="155">
        <f>(138823029.34/1000)</f>
        <v>138823.02934000001</v>
      </c>
      <c r="AA51" s="155">
        <v>140474.30236999999</v>
      </c>
      <c r="AB51" s="155">
        <v>141559.58499999999</v>
      </c>
    </row>
    <row r="52" spans="2:28" ht="15.6">
      <c r="B52" s="72" t="s">
        <v>396</v>
      </c>
      <c r="C52" s="107">
        <v>17215.072319999999</v>
      </c>
      <c r="D52" s="107">
        <v>0</v>
      </c>
      <c r="E52" s="107">
        <v>0</v>
      </c>
      <c r="F52" s="107">
        <v>0</v>
      </c>
      <c r="G52" s="107">
        <v>0</v>
      </c>
      <c r="H52" s="107">
        <v>0</v>
      </c>
      <c r="I52" s="107">
        <v>0</v>
      </c>
      <c r="J52" s="107">
        <v>0</v>
      </c>
      <c r="K52" s="107">
        <v>0</v>
      </c>
      <c r="L52" s="107">
        <v>0</v>
      </c>
      <c r="M52" s="107">
        <v>0</v>
      </c>
      <c r="N52" s="107">
        <v>0</v>
      </c>
      <c r="O52" s="107">
        <v>0</v>
      </c>
      <c r="P52" s="155">
        <v>0</v>
      </c>
      <c r="Q52" s="155"/>
      <c r="R52" s="155"/>
      <c r="S52" s="155">
        <v>0</v>
      </c>
      <c r="T52" s="155">
        <v>0</v>
      </c>
      <c r="V52" s="72" t="s">
        <v>396</v>
      </c>
      <c r="W52" s="155">
        <v>0</v>
      </c>
      <c r="X52" s="155">
        <v>0</v>
      </c>
      <c r="Y52" s="155">
        <v>0</v>
      </c>
      <c r="Z52" s="155"/>
      <c r="AA52" s="155">
        <v>0</v>
      </c>
      <c r="AB52" s="155">
        <v>0</v>
      </c>
    </row>
    <row r="53" spans="2:28" ht="15.6">
      <c r="B53" s="72" t="s">
        <v>103</v>
      </c>
      <c r="C53" s="107">
        <v>2521.1970600000127</v>
      </c>
      <c r="D53" s="107">
        <v>2422.7654400000001</v>
      </c>
      <c r="E53" s="107">
        <v>2369.9827600000003</v>
      </c>
      <c r="F53" s="107">
        <v>2320.1573399999997</v>
      </c>
      <c r="G53" s="107">
        <v>2271.21227</v>
      </c>
      <c r="H53" s="107">
        <v>2325.6148800000005</v>
      </c>
      <c r="I53" s="107">
        <v>2347.1055999999999</v>
      </c>
      <c r="J53" s="107">
        <v>2334.5615100000005</v>
      </c>
      <c r="K53" s="107">
        <v>2338.6625500000005</v>
      </c>
      <c r="L53" s="107">
        <v>2652.39966</v>
      </c>
      <c r="M53" s="107">
        <v>2640.6403300000002</v>
      </c>
      <c r="N53" s="107">
        <v>2631.74235</v>
      </c>
      <c r="O53" s="107">
        <v>2702</v>
      </c>
      <c r="P53" s="155">
        <v>3277</v>
      </c>
      <c r="Q53" s="155">
        <v>3248</v>
      </c>
      <c r="R53" s="155">
        <v>3283</v>
      </c>
      <c r="S53" s="155">
        <v>3144.9256700000001</v>
      </c>
      <c r="T53" s="155">
        <v>2953</v>
      </c>
      <c r="V53" s="72" t="s">
        <v>103</v>
      </c>
      <c r="W53" s="155">
        <v>2951.1092899999999</v>
      </c>
      <c r="X53" s="155">
        <v>2965.3854900000001</v>
      </c>
      <c r="Y53" s="155">
        <v>2953.0425699999996</v>
      </c>
      <c r="Z53" s="155">
        <f>(3075973.79/1000)</f>
        <v>3075.97379</v>
      </c>
      <c r="AA53" s="155">
        <v>3046.14203</v>
      </c>
      <c r="AB53" s="155">
        <v>3016.3</v>
      </c>
    </row>
    <row r="54" spans="2:28" ht="15.6">
      <c r="B54" s="72" t="s">
        <v>106</v>
      </c>
      <c r="C54" s="107">
        <v>1131079.0943799999</v>
      </c>
      <c r="D54" s="107">
        <v>1267725.21312</v>
      </c>
      <c r="E54" s="107">
        <v>1277493.3783900002</v>
      </c>
      <c r="F54" s="107">
        <v>1281165.17221</v>
      </c>
      <c r="G54" s="107">
        <v>1281265.0287299999</v>
      </c>
      <c r="H54" s="107">
        <v>1280264.2017999999</v>
      </c>
      <c r="I54" s="107">
        <v>1273214.0362499999</v>
      </c>
      <c r="J54" s="107">
        <v>1264249.69933</v>
      </c>
      <c r="K54" s="107">
        <v>1259752.0421800001</v>
      </c>
      <c r="L54" s="107">
        <v>1276788.8507100001</v>
      </c>
      <c r="M54" s="107">
        <v>1289187.7552100001</v>
      </c>
      <c r="N54" s="107">
        <v>1307571.6147</v>
      </c>
      <c r="O54" s="107">
        <v>1350529</v>
      </c>
      <c r="P54" s="155">
        <v>1386473</v>
      </c>
      <c r="Q54" s="155">
        <v>1411638</v>
      </c>
      <c r="R54" s="155">
        <v>1439427</v>
      </c>
      <c r="S54" s="155">
        <v>1473056.3463299999</v>
      </c>
      <c r="T54" s="155">
        <v>1519229</v>
      </c>
      <c r="V54" s="72" t="s">
        <v>106</v>
      </c>
      <c r="W54" s="155">
        <v>1529815.9900100001</v>
      </c>
      <c r="X54" s="155">
        <v>1547486.38133</v>
      </c>
      <c r="Y54" s="155">
        <v>1592855.9217399999</v>
      </c>
      <c r="Z54" s="155">
        <f>(1646201016.67/1000)</f>
        <v>1646201.01667</v>
      </c>
      <c r="AA54" s="155">
        <v>1675354.6078900001</v>
      </c>
      <c r="AB54" s="155">
        <v>1683486.9979999999</v>
      </c>
    </row>
    <row r="55" spans="2:28" ht="15.6">
      <c r="B55" s="72" t="s">
        <v>94</v>
      </c>
      <c r="C55" s="107">
        <v>0</v>
      </c>
      <c r="D55" s="107">
        <v>0</v>
      </c>
      <c r="E55" s="107">
        <v>0</v>
      </c>
      <c r="F55" s="107">
        <v>0</v>
      </c>
      <c r="G55" s="107">
        <v>0</v>
      </c>
      <c r="H55" s="107">
        <v>0</v>
      </c>
      <c r="I55" s="107">
        <v>0</v>
      </c>
      <c r="J55" s="107">
        <v>0</v>
      </c>
      <c r="K55" s="107">
        <v>0</v>
      </c>
      <c r="L55" s="107">
        <v>0</v>
      </c>
      <c r="M55" s="107">
        <v>0</v>
      </c>
      <c r="N55" s="107">
        <v>0</v>
      </c>
      <c r="O55" s="107">
        <v>10002</v>
      </c>
      <c r="P55" s="155">
        <v>0</v>
      </c>
      <c r="Q55" s="155"/>
      <c r="R55" s="155">
        <v>0</v>
      </c>
      <c r="S55" s="155">
        <v>0</v>
      </c>
      <c r="T55" s="155">
        <v>0</v>
      </c>
      <c r="V55" s="72" t="s">
        <v>94</v>
      </c>
      <c r="W55" s="155">
        <v>0</v>
      </c>
      <c r="X55" s="155">
        <v>0</v>
      </c>
      <c r="Y55" s="155">
        <v>0</v>
      </c>
      <c r="Z55" s="155">
        <v>0</v>
      </c>
      <c r="AA55" s="155">
        <v>0</v>
      </c>
      <c r="AB55" s="155">
        <v>0</v>
      </c>
    </row>
    <row r="56" spans="2:28" ht="15.6">
      <c r="B56" s="72" t="s">
        <v>107</v>
      </c>
      <c r="C56" s="107">
        <v>0</v>
      </c>
      <c r="D56" s="107">
        <v>0</v>
      </c>
      <c r="E56" s="107">
        <v>0</v>
      </c>
      <c r="F56" s="107">
        <v>0</v>
      </c>
      <c r="G56" s="107">
        <v>0</v>
      </c>
      <c r="H56" s="107">
        <v>0</v>
      </c>
      <c r="I56" s="107">
        <v>0</v>
      </c>
      <c r="J56" s="107">
        <v>0</v>
      </c>
      <c r="K56" s="107">
        <v>0</v>
      </c>
      <c r="L56" s="107">
        <v>0</v>
      </c>
      <c r="M56" s="107">
        <v>0</v>
      </c>
      <c r="N56" s="107">
        <v>0</v>
      </c>
      <c r="O56" s="107">
        <v>0</v>
      </c>
      <c r="P56" s="155">
        <v>0</v>
      </c>
      <c r="Q56" s="155"/>
      <c r="R56" s="155">
        <v>0</v>
      </c>
      <c r="S56" s="155">
        <v>0</v>
      </c>
      <c r="T56" s="155">
        <v>0</v>
      </c>
      <c r="V56" s="72" t="s">
        <v>107</v>
      </c>
      <c r="W56" s="155">
        <v>0</v>
      </c>
      <c r="X56" s="155">
        <v>0</v>
      </c>
      <c r="Y56" s="155">
        <v>0</v>
      </c>
      <c r="Z56" s="155">
        <v>0</v>
      </c>
      <c r="AA56" s="155">
        <v>0</v>
      </c>
      <c r="AB56" s="155">
        <v>0</v>
      </c>
    </row>
    <row r="57" spans="2:28" ht="15.6">
      <c r="B57" s="72" t="s">
        <v>108</v>
      </c>
      <c r="C57" s="107">
        <v>0</v>
      </c>
      <c r="D57" s="107">
        <v>0</v>
      </c>
      <c r="E57" s="107">
        <v>0</v>
      </c>
      <c r="F57" s="107">
        <v>0</v>
      </c>
      <c r="G57" s="107">
        <v>0</v>
      </c>
      <c r="H57" s="107">
        <v>0</v>
      </c>
      <c r="I57" s="107">
        <v>0</v>
      </c>
      <c r="J57" s="107">
        <v>0</v>
      </c>
      <c r="K57" s="107">
        <v>0</v>
      </c>
      <c r="L57" s="107">
        <v>0</v>
      </c>
      <c r="M57" s="107">
        <v>0</v>
      </c>
      <c r="N57" s="107">
        <v>0</v>
      </c>
      <c r="O57" s="107">
        <v>0</v>
      </c>
      <c r="P57" s="155">
        <v>0</v>
      </c>
      <c r="Q57" s="155"/>
      <c r="R57" s="155">
        <v>0</v>
      </c>
      <c r="S57" s="155">
        <v>0</v>
      </c>
      <c r="T57" s="155">
        <v>0</v>
      </c>
      <c r="V57" s="72" t="s">
        <v>108</v>
      </c>
      <c r="W57" s="155">
        <v>0</v>
      </c>
      <c r="X57" s="155">
        <v>0</v>
      </c>
      <c r="Y57" s="155">
        <v>0</v>
      </c>
      <c r="Z57" s="155">
        <v>0</v>
      </c>
      <c r="AA57" s="155">
        <v>0</v>
      </c>
      <c r="AB57" s="155">
        <v>0</v>
      </c>
    </row>
    <row r="58" spans="2:28" ht="15.6">
      <c r="B58" s="72" t="s">
        <v>95</v>
      </c>
      <c r="C58" s="107">
        <v>0</v>
      </c>
      <c r="D58" s="107">
        <v>0</v>
      </c>
      <c r="E58" s="107">
        <v>0</v>
      </c>
      <c r="F58" s="107">
        <v>0</v>
      </c>
      <c r="G58" s="107">
        <v>0</v>
      </c>
      <c r="H58" s="107">
        <v>0</v>
      </c>
      <c r="I58" s="107">
        <v>0</v>
      </c>
      <c r="J58" s="107">
        <v>0</v>
      </c>
      <c r="K58" s="107">
        <v>0</v>
      </c>
      <c r="L58" s="107">
        <v>0</v>
      </c>
      <c r="M58" s="107">
        <v>0</v>
      </c>
      <c r="N58" s="107">
        <v>0</v>
      </c>
      <c r="O58" s="107">
        <v>0</v>
      </c>
      <c r="P58" s="155">
        <v>0</v>
      </c>
      <c r="Q58" s="155"/>
      <c r="R58" s="155">
        <v>0</v>
      </c>
      <c r="S58" s="155">
        <v>0</v>
      </c>
      <c r="T58" s="155">
        <v>0</v>
      </c>
      <c r="V58" s="72" t="s">
        <v>95</v>
      </c>
      <c r="W58" s="155">
        <v>0</v>
      </c>
      <c r="X58" s="155">
        <v>0</v>
      </c>
      <c r="Y58" s="155">
        <v>0</v>
      </c>
      <c r="Z58" s="155">
        <v>0</v>
      </c>
      <c r="AA58" s="155">
        <v>0</v>
      </c>
      <c r="AB58" s="155">
        <v>0</v>
      </c>
    </row>
    <row r="59" spans="2:28" ht="15.6" thickBot="1">
      <c r="B59" s="115" t="s">
        <v>110</v>
      </c>
      <c r="C59" s="120">
        <v>1246014.9442399999</v>
      </c>
      <c r="D59" s="120">
        <v>1369118.0025599999</v>
      </c>
      <c r="E59" s="120">
        <v>1378047.1451100002</v>
      </c>
      <c r="F59" s="120">
        <v>1379088.0478000001</v>
      </c>
      <c r="G59" s="120">
        <v>1378467.2932799999</v>
      </c>
      <c r="H59" s="120">
        <v>1379813.3237699999</v>
      </c>
      <c r="I59" s="120">
        <v>1372976.7454299999</v>
      </c>
      <c r="J59" s="120">
        <v>1364857.11965</v>
      </c>
      <c r="K59" s="120">
        <v>1372171.2976900002</v>
      </c>
      <c r="L59" s="120">
        <v>1406412.7213700002</v>
      </c>
      <c r="M59" s="120">
        <v>1428736.59895</v>
      </c>
      <c r="N59" s="141">
        <v>1449812.78094</v>
      </c>
      <c r="O59" s="141">
        <v>1508377</v>
      </c>
      <c r="P59" s="141">
        <f>SUM(P50:P58)</f>
        <v>1541214</v>
      </c>
      <c r="Q59" s="141">
        <f t="shared" ref="Q59" si="9">SUM(Q50:Q58)</f>
        <v>1569310</v>
      </c>
      <c r="R59" s="141">
        <v>1598593</v>
      </c>
      <c r="S59" s="141">
        <v>1632538.5972699998</v>
      </c>
      <c r="T59" s="141">
        <f t="shared" ref="T59" si="10">SUM(T50:T58)</f>
        <v>1680104</v>
      </c>
      <c r="V59" s="115" t="s">
        <v>110</v>
      </c>
      <c r="W59" s="141">
        <v>1688932.17298</v>
      </c>
      <c r="X59" s="141">
        <v>1707235.2240899999</v>
      </c>
      <c r="Y59" s="141">
        <v>1752834.7456</v>
      </c>
      <c r="Z59" s="141">
        <f t="shared" ref="Z59:AA59" si="11">+SUM(Z50:Z58)</f>
        <v>1809830.5657900001</v>
      </c>
      <c r="AA59" s="141">
        <f t="shared" si="11"/>
        <v>1840130.19943</v>
      </c>
      <c r="AB59" s="141">
        <v>1850629.7699999998</v>
      </c>
    </row>
    <row r="60" spans="2:28" ht="15.6" thickBot="1">
      <c r="B60" s="121" t="s">
        <v>111</v>
      </c>
      <c r="C60" s="122">
        <v>1319737.9841699998</v>
      </c>
      <c r="D60" s="122">
        <v>1432530.74239</v>
      </c>
      <c r="E60" s="122">
        <v>1502815.5859300001</v>
      </c>
      <c r="F60" s="122">
        <v>1452407.67405</v>
      </c>
      <c r="G60" s="122">
        <v>1467536.7701999999</v>
      </c>
      <c r="H60" s="122">
        <v>1474473.4148499998</v>
      </c>
      <c r="I60" s="122">
        <v>1473079.11362</v>
      </c>
      <c r="J60" s="122">
        <v>1492996.55531</v>
      </c>
      <c r="K60" s="122">
        <v>1514574.4826900002</v>
      </c>
      <c r="L60" s="122">
        <v>1536323.9278700002</v>
      </c>
      <c r="M60" s="122">
        <v>1570209.3873999999</v>
      </c>
      <c r="N60" s="142">
        <v>1606894.4873500001</v>
      </c>
      <c r="O60" s="142">
        <v>1769814</v>
      </c>
      <c r="P60" s="142">
        <f>P48+P59</f>
        <v>1807805</v>
      </c>
      <c r="Q60" s="142">
        <f t="shared" ref="Q60" si="12">Q48+Q59</f>
        <v>1822565</v>
      </c>
      <c r="R60" s="142">
        <v>1814614</v>
      </c>
      <c r="S60" s="142">
        <v>1806872.9502899998</v>
      </c>
      <c r="T60" s="142">
        <f t="shared" ref="T60" si="13">T48+T59</f>
        <v>1822344</v>
      </c>
      <c r="V60" s="121" t="s">
        <v>111</v>
      </c>
      <c r="W60" s="142">
        <v>1839023.3276200001</v>
      </c>
      <c r="X60" s="142">
        <v>1815181.53526</v>
      </c>
      <c r="Y60" s="142">
        <v>1867199.57491</v>
      </c>
      <c r="Z60" s="142">
        <f t="shared" ref="Z60:AA60" si="14">+Z48+Z59</f>
        <v>1888768.9903800001</v>
      </c>
      <c r="AA60" s="142">
        <f t="shared" si="14"/>
        <v>1945159.3982200001</v>
      </c>
      <c r="AB60" s="142">
        <v>1952227.3249999997</v>
      </c>
    </row>
    <row r="61" spans="2:28" ht="15.6" thickBot="1">
      <c r="B61" s="123"/>
      <c r="C61" s="124"/>
      <c r="D61" s="124"/>
      <c r="E61" s="124"/>
      <c r="F61" s="124"/>
      <c r="G61" s="124"/>
      <c r="H61" s="124"/>
      <c r="I61" s="124"/>
      <c r="J61" s="124"/>
      <c r="K61" s="124"/>
      <c r="L61" s="124"/>
      <c r="M61" s="124"/>
      <c r="N61" s="143"/>
      <c r="O61" s="143"/>
      <c r="P61" s="143"/>
      <c r="Q61" s="143"/>
      <c r="R61" s="143"/>
      <c r="S61" s="143"/>
      <c r="V61" s="123"/>
    </row>
    <row r="62" spans="2:28" ht="15.6" thickBot="1">
      <c r="B62" s="113" t="s">
        <v>112</v>
      </c>
      <c r="C62" s="125"/>
      <c r="D62" s="125"/>
      <c r="E62" s="125"/>
      <c r="F62" s="125"/>
      <c r="G62" s="125"/>
      <c r="H62" s="125"/>
      <c r="I62" s="125"/>
      <c r="J62" s="125"/>
      <c r="K62" s="125"/>
      <c r="L62" s="125"/>
      <c r="M62" s="125"/>
      <c r="N62" s="144"/>
      <c r="O62" s="144"/>
      <c r="P62" s="144"/>
      <c r="Q62" s="144"/>
      <c r="R62" s="144"/>
      <c r="S62" s="144"/>
      <c r="T62" s="144"/>
      <c r="V62" s="113" t="s">
        <v>112</v>
      </c>
      <c r="W62" s="144"/>
      <c r="X62" s="144"/>
      <c r="Y62" s="144"/>
      <c r="Z62" s="144"/>
      <c r="AA62" s="144"/>
      <c r="AB62" s="144"/>
    </row>
    <row r="63" spans="2:28" ht="15.6" thickBot="1">
      <c r="B63" s="115" t="s">
        <v>113</v>
      </c>
      <c r="C63" s="126"/>
      <c r="D63" s="126"/>
      <c r="E63" s="126"/>
      <c r="F63" s="126"/>
      <c r="G63" s="126"/>
      <c r="H63" s="126"/>
      <c r="I63" s="126"/>
      <c r="J63" s="126"/>
      <c r="K63" s="126"/>
      <c r="L63" s="126"/>
      <c r="M63" s="126"/>
      <c r="N63" s="145"/>
      <c r="O63" s="145"/>
      <c r="P63" s="145"/>
      <c r="Q63" s="145"/>
      <c r="R63" s="145"/>
      <c r="S63" s="145"/>
      <c r="T63" s="145"/>
      <c r="V63" s="115" t="s">
        <v>113</v>
      </c>
      <c r="W63" s="145"/>
      <c r="X63" s="145"/>
      <c r="Y63" s="145"/>
      <c r="Z63" s="145"/>
      <c r="AA63" s="145"/>
      <c r="AB63" s="145"/>
    </row>
    <row r="64" spans="2:28" ht="15.6">
      <c r="B64" s="72" t="s">
        <v>397</v>
      </c>
      <c r="C64" s="107">
        <v>4495.8558599999997</v>
      </c>
      <c r="D64" s="107">
        <v>8379.9310999999998</v>
      </c>
      <c r="E64" s="107">
        <v>3949.8318599999998</v>
      </c>
      <c r="F64" s="107">
        <v>1945.8644099999999</v>
      </c>
      <c r="G64" s="107">
        <v>2817.27684</v>
      </c>
      <c r="H64" s="107">
        <v>5854.0709999999999</v>
      </c>
      <c r="I64" s="107">
        <v>4322.3543099999997</v>
      </c>
      <c r="J64" s="107">
        <v>1260.0704599999999</v>
      </c>
      <c r="K64" s="107">
        <v>9281.5932100000009</v>
      </c>
      <c r="L64" s="107">
        <v>14163.288400000001</v>
      </c>
      <c r="M64" s="107">
        <v>12988.08389</v>
      </c>
      <c r="N64" s="107">
        <v>8293.1468299999997</v>
      </c>
      <c r="O64" s="107">
        <v>10073</v>
      </c>
      <c r="P64" s="155">
        <v>9299</v>
      </c>
      <c r="Q64" s="155">
        <v>6457</v>
      </c>
      <c r="R64" s="155">
        <v>6115</v>
      </c>
      <c r="S64" s="155">
        <v>5630.39653</v>
      </c>
      <c r="T64" s="155">
        <v>8627</v>
      </c>
      <c r="V64" s="72" t="s">
        <v>397</v>
      </c>
      <c r="W64" s="155">
        <v>5338.8266399999993</v>
      </c>
      <c r="X64" s="155">
        <v>4159.9601000000002</v>
      </c>
      <c r="Y64" s="155">
        <v>22865.119870000002</v>
      </c>
      <c r="Z64" s="155">
        <f>(15832661.02/1000)</f>
        <v>15832.66102</v>
      </c>
      <c r="AA64" s="155">
        <v>13540.317289999999</v>
      </c>
      <c r="AB64" s="155">
        <v>14336.669</v>
      </c>
    </row>
    <row r="65" spans="2:28" ht="15.6">
      <c r="B65" s="72" t="s">
        <v>398</v>
      </c>
      <c r="C65" s="107">
        <v>4734.8090000000002</v>
      </c>
      <c r="D65" s="107">
        <v>3878.7779999999998</v>
      </c>
      <c r="E65" s="107">
        <v>11361.17361</v>
      </c>
      <c r="F65" s="107">
        <v>13009.458359999997</v>
      </c>
      <c r="G65" s="107">
        <v>17959.353299999995</v>
      </c>
      <c r="H65" s="107">
        <v>6202.8850000000002</v>
      </c>
      <c r="I65" s="107">
        <v>17144.553680000005</v>
      </c>
      <c r="J65" s="107">
        <v>18190.772459999993</v>
      </c>
      <c r="K65" s="107">
        <v>26451.918600000001</v>
      </c>
      <c r="L65" s="107">
        <v>7624.3639999999996</v>
      </c>
      <c r="M65" s="107">
        <v>24128.544909999997</v>
      </c>
      <c r="N65" s="107">
        <v>13414.86085999999</v>
      </c>
      <c r="O65" s="107">
        <v>44110</v>
      </c>
      <c r="P65" s="155">
        <v>9934</v>
      </c>
      <c r="Q65" s="155">
        <v>11753</v>
      </c>
      <c r="R65" s="155">
        <v>5902</v>
      </c>
      <c r="S65" s="155">
        <v>12499.7444</v>
      </c>
      <c r="T65" s="155">
        <v>12501</v>
      </c>
      <c r="V65" s="72" t="s">
        <v>398</v>
      </c>
      <c r="W65" s="155">
        <v>3058.0942</v>
      </c>
      <c r="X65" s="155">
        <v>5653.0208899999998</v>
      </c>
      <c r="Y65" s="155">
        <v>3104.5221099999999</v>
      </c>
      <c r="Z65" s="155">
        <f>(7539595.64/1000)</f>
        <v>7539.5956399999995</v>
      </c>
      <c r="AA65" s="155">
        <v>4267.2663699999994</v>
      </c>
      <c r="AB65" s="155">
        <v>1789.501</v>
      </c>
    </row>
    <row r="66" spans="2:28" ht="15.6">
      <c r="B66" s="72" t="s">
        <v>399</v>
      </c>
      <c r="C66" s="107">
        <v>120368.42105263159</v>
      </c>
      <c r="D66" s="107">
        <v>28206.668000000001</v>
      </c>
      <c r="E66" s="107">
        <v>48207.599000000002</v>
      </c>
      <c r="F66" s="107">
        <v>90491.48083</v>
      </c>
      <c r="G66" s="107">
        <v>83422.414930000014</v>
      </c>
      <c r="H66" s="107">
        <v>90782.826109999995</v>
      </c>
      <c r="I66" s="107">
        <v>63930.995219999997</v>
      </c>
      <c r="J66" s="107">
        <v>15000</v>
      </c>
      <c r="K66" s="107">
        <v>0</v>
      </c>
      <c r="L66" s="107">
        <v>0</v>
      </c>
      <c r="M66" s="107">
        <v>0</v>
      </c>
      <c r="N66" s="107">
        <v>100000</v>
      </c>
      <c r="O66" s="107">
        <v>0</v>
      </c>
      <c r="P66" s="155">
        <v>1504</v>
      </c>
      <c r="Q66" s="155">
        <v>47255</v>
      </c>
      <c r="R66" s="155">
        <v>84892</v>
      </c>
      <c r="S66" s="155">
        <v>96792.098299999998</v>
      </c>
      <c r="T66" s="155">
        <v>84691</v>
      </c>
      <c r="V66" s="72" t="s">
        <v>399</v>
      </c>
      <c r="W66" s="155">
        <v>96330.730500000005</v>
      </c>
      <c r="X66" s="155">
        <v>19787.036929999998</v>
      </c>
      <c r="Y66" s="155">
        <v>33131.56061</v>
      </c>
      <c r="Z66" s="155">
        <f>(26320472/1000)</f>
        <v>26320.472000000002</v>
      </c>
      <c r="AA66" s="155">
        <v>86747.168470000004</v>
      </c>
      <c r="AB66" s="155">
        <v>37684.463000000003</v>
      </c>
    </row>
    <row r="67" spans="2:28" ht="15.6">
      <c r="B67" s="72" t="s">
        <v>400</v>
      </c>
      <c r="C67" s="107">
        <v>23872.601119999999</v>
      </c>
      <c r="D67" s="107">
        <v>15878.199329999999</v>
      </c>
      <c r="E67" s="107">
        <v>72533.666549999994</v>
      </c>
      <c r="F67" s="107">
        <v>9023.5958100000007</v>
      </c>
      <c r="G67" s="107">
        <v>5316.5259400000004</v>
      </c>
      <c r="H67" s="107">
        <v>8541.9537700000001</v>
      </c>
      <c r="I67" s="107">
        <v>8397.3404300000002</v>
      </c>
      <c r="J67" s="107">
        <v>6750.1602400000002</v>
      </c>
      <c r="K67" s="107">
        <v>5295.8337300000003</v>
      </c>
      <c r="L67" s="107">
        <v>17222.496829999996</v>
      </c>
      <c r="M67" s="107">
        <v>14317.83124</v>
      </c>
      <c r="N67" s="107">
        <v>8715.1798500000004</v>
      </c>
      <c r="O67" s="107">
        <v>11257</v>
      </c>
      <c r="P67" s="155">
        <v>35091</v>
      </c>
      <c r="Q67" s="155">
        <v>76904</v>
      </c>
      <c r="R67" s="155">
        <v>11712</v>
      </c>
      <c r="S67" s="155">
        <v>14209.23</v>
      </c>
      <c r="T67" s="155">
        <v>17664</v>
      </c>
      <c r="V67" s="72" t="s">
        <v>400</v>
      </c>
      <c r="W67" s="155">
        <v>31546.070179999999</v>
      </c>
      <c r="X67" s="155">
        <v>11520.520289999999</v>
      </c>
      <c r="Y67" s="155">
        <v>13759.982330000001</v>
      </c>
      <c r="Z67" s="155">
        <f>(12998115.84/1000)</f>
        <v>12998.11584</v>
      </c>
      <c r="AA67" s="155">
        <v>4009.9655400000001</v>
      </c>
      <c r="AB67" s="155">
        <v>4009.9659999999999</v>
      </c>
    </row>
    <row r="68" spans="2:28" ht="15.6">
      <c r="B68" s="72" t="s">
        <v>401</v>
      </c>
      <c r="C68" s="107">
        <v>3456.252</v>
      </c>
      <c r="D68" s="107">
        <v>1676.0319999999999</v>
      </c>
      <c r="E68" s="107">
        <v>1614.67092</v>
      </c>
      <c r="F68" s="107">
        <v>1614.67092</v>
      </c>
      <c r="G68" s="107">
        <v>1614.67092</v>
      </c>
      <c r="H68" s="107">
        <v>1729.8309999999999</v>
      </c>
      <c r="I68" s="107">
        <v>1718.6699199999998</v>
      </c>
      <c r="J68" s="107">
        <v>1718.6699199999998</v>
      </c>
      <c r="K68" s="107">
        <v>1718.6699199999998</v>
      </c>
      <c r="L68" s="107">
        <v>2468.5070000000001</v>
      </c>
      <c r="M68" s="107">
        <v>2441.5359199999998</v>
      </c>
      <c r="N68" s="107">
        <v>2441.5359199999998</v>
      </c>
      <c r="O68" s="107">
        <v>2441</v>
      </c>
      <c r="P68" s="155">
        <v>3233</v>
      </c>
      <c r="Q68" s="155"/>
      <c r="R68" s="155">
        <v>3233</v>
      </c>
      <c r="S68" s="155">
        <v>3232.6898300000003</v>
      </c>
      <c r="T68" s="155">
        <v>1365</v>
      </c>
      <c r="V68" s="72" t="s">
        <v>401</v>
      </c>
      <c r="W68" s="155">
        <v>1365.8307500000001</v>
      </c>
      <c r="X68" s="155">
        <v>1365.8307500000001</v>
      </c>
      <c r="Y68" s="155">
        <v>1365.8307500000001</v>
      </c>
      <c r="Z68" s="155">
        <f>(4009965.54/1000)</f>
        <v>4009.9655400000001</v>
      </c>
      <c r="AA68" s="155">
        <v>56695.317540000004</v>
      </c>
      <c r="AB68" s="155">
        <v>76465.316000000006</v>
      </c>
    </row>
    <row r="69" spans="2:28" ht="15.6" thickBot="1">
      <c r="B69" s="115" t="s">
        <v>121</v>
      </c>
      <c r="C69" s="120">
        <v>156927.93903263161</v>
      </c>
      <c r="D69" s="120">
        <v>58019.60843</v>
      </c>
      <c r="E69" s="120">
        <v>137666.94193999999</v>
      </c>
      <c r="F69" s="120">
        <v>116085.07033</v>
      </c>
      <c r="G69" s="120">
        <v>111130.24193000002</v>
      </c>
      <c r="H69" s="120">
        <v>113111.56688</v>
      </c>
      <c r="I69" s="120">
        <v>95513.913560000001</v>
      </c>
      <c r="J69" s="120">
        <v>42919.673079999993</v>
      </c>
      <c r="K69" s="120">
        <v>42748.015460000002</v>
      </c>
      <c r="L69" s="120">
        <v>41478.656229999993</v>
      </c>
      <c r="M69" s="120">
        <v>53875.99596</v>
      </c>
      <c r="N69" s="141">
        <v>132864.72346000001</v>
      </c>
      <c r="O69" s="141">
        <v>67881</v>
      </c>
      <c r="P69" s="141">
        <f>SUM(P64:P68)</f>
        <v>59061</v>
      </c>
      <c r="Q69" s="141">
        <f>SUM(Q64:Q68)</f>
        <v>142369</v>
      </c>
      <c r="R69" s="141">
        <v>111854</v>
      </c>
      <c r="S69" s="141">
        <v>132364.15906000001</v>
      </c>
      <c r="T69" s="141">
        <f>SUM(T64:T68)</f>
        <v>124848</v>
      </c>
      <c r="V69" s="115" t="s">
        <v>121</v>
      </c>
      <c r="W69" s="141">
        <v>137639.55227000001</v>
      </c>
      <c r="X69" s="141">
        <v>42486.36896</v>
      </c>
      <c r="Y69" s="141">
        <v>74227.015669999993</v>
      </c>
      <c r="Z69" s="141">
        <f>+SUM(Z64:Z68)</f>
        <v>66700.810039999997</v>
      </c>
      <c r="AA69" s="141">
        <f>+SUM(AA64:AA68)</f>
        <v>165260.03521</v>
      </c>
      <c r="AB69" s="141">
        <v>134285.91500000001</v>
      </c>
    </row>
    <row r="70" spans="2:28" ht="15.6" thickBot="1">
      <c r="B70" s="127" t="s">
        <v>122</v>
      </c>
      <c r="C70" s="128"/>
      <c r="D70" s="128"/>
      <c r="E70" s="128"/>
      <c r="F70" s="128"/>
      <c r="G70" s="128"/>
      <c r="H70" s="128"/>
      <c r="I70" s="128"/>
      <c r="J70" s="128"/>
      <c r="K70" s="128"/>
      <c r="L70" s="128"/>
      <c r="M70" s="128"/>
      <c r="N70" s="146"/>
      <c r="O70" s="146"/>
      <c r="P70" s="146"/>
      <c r="Q70" s="146"/>
      <c r="R70" s="146"/>
      <c r="S70" s="146"/>
      <c r="T70" s="146"/>
      <c r="V70" s="127" t="s">
        <v>122</v>
      </c>
      <c r="W70" s="146"/>
      <c r="X70" s="146"/>
      <c r="Y70" s="146"/>
      <c r="Z70" s="146"/>
      <c r="AA70" s="146"/>
      <c r="AB70" s="146"/>
    </row>
    <row r="71" spans="2:28" ht="15.6">
      <c r="B71" s="72" t="s">
        <v>402</v>
      </c>
      <c r="C71" s="107">
        <v>1051.0146499999998</v>
      </c>
      <c r="D71" s="107">
        <v>1015.90939</v>
      </c>
      <c r="E71" s="107">
        <v>1015.90939</v>
      </c>
      <c r="F71" s="107">
        <v>919.55375000000004</v>
      </c>
      <c r="G71" s="107">
        <v>897.07326999999998</v>
      </c>
      <c r="H71" s="107">
        <v>874.90928000000008</v>
      </c>
      <c r="I71" s="107">
        <v>852.77043000000003</v>
      </c>
      <c r="J71" s="107">
        <v>830.54120999999998</v>
      </c>
      <c r="K71" s="107">
        <v>806.86728000000005</v>
      </c>
      <c r="L71" s="107">
        <v>783.90521000000001</v>
      </c>
      <c r="M71" s="107">
        <v>768.68551000000002</v>
      </c>
      <c r="N71" s="107">
        <v>737.74070999999992</v>
      </c>
      <c r="O71" s="107">
        <v>645</v>
      </c>
      <c r="P71" s="155">
        <v>1047</v>
      </c>
      <c r="Q71" s="155">
        <v>1025</v>
      </c>
      <c r="R71" s="155">
        <v>1003</v>
      </c>
      <c r="S71" s="155">
        <v>980.50080000000003</v>
      </c>
      <c r="T71" s="155">
        <v>957</v>
      </c>
      <c r="V71" s="72" t="s">
        <v>402</v>
      </c>
      <c r="W71" s="155">
        <v>925.56916000000001</v>
      </c>
      <c r="X71" s="155">
        <v>900.14096999999992</v>
      </c>
      <c r="Y71" s="155">
        <v>874.83057999999994</v>
      </c>
      <c r="Z71" s="155">
        <f>(848600.53/1000)</f>
        <v>848.60053000000005</v>
      </c>
      <c r="AA71" s="155">
        <v>806.80743999999993</v>
      </c>
      <c r="AB71" s="155">
        <v>776.57600000000002</v>
      </c>
    </row>
    <row r="72" spans="2:28" ht="15.6">
      <c r="B72" s="72" t="s">
        <v>403</v>
      </c>
      <c r="C72" s="107">
        <v>616277.39800000004</v>
      </c>
      <c r="D72" s="107">
        <v>758206.64932999993</v>
      </c>
      <c r="E72" s="107">
        <v>793583.54624000005</v>
      </c>
      <c r="F72" s="107">
        <v>744631.88431999995</v>
      </c>
      <c r="G72" s="107">
        <v>745076.15850999998</v>
      </c>
      <c r="H72" s="107">
        <v>730999.56871000002</v>
      </c>
      <c r="I72" s="107">
        <v>724112.16554999992</v>
      </c>
      <c r="J72" s="107">
        <v>845118.49503000011</v>
      </c>
      <c r="K72" s="107">
        <v>844954.25805999991</v>
      </c>
      <c r="L72" s="107">
        <v>845164.12774000003</v>
      </c>
      <c r="M72" s="107">
        <v>845402.18974000006</v>
      </c>
      <c r="N72" s="107">
        <v>845597.47574000002</v>
      </c>
      <c r="O72" s="107">
        <v>1050000</v>
      </c>
      <c r="P72" s="155">
        <v>1075668</v>
      </c>
      <c r="Q72" s="155">
        <v>1050000</v>
      </c>
      <c r="R72" s="155">
        <v>1050000</v>
      </c>
      <c r="S72" s="155">
        <v>1050000</v>
      </c>
      <c r="T72" s="155">
        <v>1050000</v>
      </c>
      <c r="V72" s="72" t="s">
        <v>403</v>
      </c>
      <c r="W72" s="155">
        <v>1050000</v>
      </c>
      <c r="X72" s="155">
        <v>1100000</v>
      </c>
      <c r="Y72" s="155">
        <v>1100000</v>
      </c>
      <c r="Z72" s="155">
        <v>1100000</v>
      </c>
      <c r="AA72" s="155">
        <v>34446.84981</v>
      </c>
      <c r="AB72" s="155">
        <v>35298.781000000003</v>
      </c>
    </row>
    <row r="73" spans="2:28" ht="15.6">
      <c r="B73" s="72" t="s">
        <v>118</v>
      </c>
      <c r="C73" s="107">
        <v>7618.84</v>
      </c>
      <c r="D73" s="107">
        <v>11895.880060000001</v>
      </c>
      <c r="E73" s="107">
        <v>14123.878419999999</v>
      </c>
      <c r="F73" s="107">
        <v>16316.48659</v>
      </c>
      <c r="G73" s="107">
        <v>17611.174579999999</v>
      </c>
      <c r="H73" s="107">
        <v>16456.04435</v>
      </c>
      <c r="I73" s="107">
        <v>17562.629069999999</v>
      </c>
      <c r="J73" s="107">
        <v>18339.15669</v>
      </c>
      <c r="K73" s="107">
        <v>19195.551950000001</v>
      </c>
      <c r="L73" s="107">
        <v>18843.485760000003</v>
      </c>
      <c r="M73" s="107">
        <v>20808.110199999999</v>
      </c>
      <c r="N73" s="107">
        <v>22633.236260000001</v>
      </c>
      <c r="O73" s="107">
        <v>23991</v>
      </c>
      <c r="P73" s="155">
        <v>23173</v>
      </c>
      <c r="Q73" s="155">
        <v>24338</v>
      </c>
      <c r="R73" s="155">
        <v>25379</v>
      </c>
      <c r="S73" s="155">
        <v>26340.200519999999</v>
      </c>
      <c r="T73" s="155">
        <v>29255</v>
      </c>
      <c r="V73" s="72" t="s">
        <v>118</v>
      </c>
      <c r="W73" s="155">
        <v>30025.11837</v>
      </c>
      <c r="X73" s="155">
        <v>30937.582569999999</v>
      </c>
      <c r="Y73" s="155">
        <v>31825.238590000001</v>
      </c>
      <c r="Z73" s="155">
        <f>33128218.77/1000</f>
        <v>33128.218769999999</v>
      </c>
      <c r="AA73" s="155">
        <v>1100000</v>
      </c>
      <c r="AB73" s="155">
        <v>1100000</v>
      </c>
    </row>
    <row r="74" spans="2:28" ht="15.6">
      <c r="B74" s="72" t="s">
        <v>404</v>
      </c>
      <c r="C74" s="107">
        <v>84072.864000000001</v>
      </c>
      <c r="D74" s="107">
        <v>0</v>
      </c>
      <c r="E74" s="107">
        <v>0</v>
      </c>
      <c r="F74" s="107">
        <v>0</v>
      </c>
      <c r="G74" s="107">
        <v>0</v>
      </c>
      <c r="H74" s="107">
        <v>0</v>
      </c>
      <c r="I74" s="107">
        <v>0</v>
      </c>
      <c r="J74" s="107">
        <v>0</v>
      </c>
      <c r="K74" s="107">
        <v>0</v>
      </c>
      <c r="L74" s="107">
        <v>0</v>
      </c>
      <c r="M74" s="107">
        <v>0</v>
      </c>
      <c r="N74" s="107">
        <v>0</v>
      </c>
      <c r="O74" s="107">
        <v>0</v>
      </c>
      <c r="P74" s="155">
        <v>0</v>
      </c>
      <c r="Q74" s="155">
        <v>0</v>
      </c>
      <c r="R74" s="155">
        <v>0</v>
      </c>
      <c r="S74" s="155">
        <v>0</v>
      </c>
      <c r="T74" s="155">
        <v>0</v>
      </c>
      <c r="V74" s="72" t="s">
        <v>404</v>
      </c>
      <c r="W74" s="155">
        <v>0</v>
      </c>
      <c r="X74" s="155">
        <v>0</v>
      </c>
      <c r="Y74" s="155">
        <v>0</v>
      </c>
      <c r="Z74" s="155"/>
      <c r="AA74" s="155">
        <v>0</v>
      </c>
      <c r="AB74" s="155">
        <v>0</v>
      </c>
    </row>
    <row r="75" spans="2:28" ht="15.6">
      <c r="B75" s="72" t="s">
        <v>153</v>
      </c>
      <c r="C75" s="107">
        <v>0</v>
      </c>
      <c r="D75" s="107">
        <v>104712.27099999999</v>
      </c>
      <c r="E75" s="107">
        <v>110128.52305</v>
      </c>
      <c r="F75" s="107">
        <v>115733.90889000001</v>
      </c>
      <c r="G75" s="107">
        <v>121330.149</v>
      </c>
      <c r="H75" s="107">
        <v>127971.56600000001</v>
      </c>
      <c r="I75" s="107">
        <v>134357.59452000001</v>
      </c>
      <c r="J75" s="107">
        <v>139341.226</v>
      </c>
      <c r="K75" s="107">
        <v>145907.77802</v>
      </c>
      <c r="L75" s="107">
        <v>152635.15982</v>
      </c>
      <c r="M75" s="107">
        <v>158425.17157000001</v>
      </c>
      <c r="N75" s="107">
        <v>164625.56788999998</v>
      </c>
      <c r="O75" s="107">
        <v>170342</v>
      </c>
      <c r="P75" s="155">
        <v>176453</v>
      </c>
      <c r="Q75" s="155">
        <v>181784</v>
      </c>
      <c r="R75" s="155">
        <v>187981</v>
      </c>
      <c r="S75" s="155">
        <v>192453.63237000001</v>
      </c>
      <c r="T75" s="155">
        <v>197203</v>
      </c>
      <c r="V75" s="72" t="s">
        <v>153</v>
      </c>
      <c r="W75" s="155">
        <v>202647.02911</v>
      </c>
      <c r="X75" s="155">
        <v>204992.48846000002</v>
      </c>
      <c r="Y75" s="155">
        <v>208468.86421999999</v>
      </c>
      <c r="Z75" s="155">
        <f>215098944.18/1000</f>
        <v>215098.94418000002</v>
      </c>
      <c r="AA75" s="155">
        <v>224036.18255</v>
      </c>
      <c r="AB75" s="155">
        <v>235383.217</v>
      </c>
    </row>
    <row r="76" spans="2:28" ht="15.6" thickBot="1">
      <c r="B76" s="115" t="s">
        <v>124</v>
      </c>
      <c r="C76" s="120">
        <v>709020.11664999998</v>
      </c>
      <c r="D76" s="120">
        <v>875830.70977999992</v>
      </c>
      <c r="E76" s="120">
        <v>918851.85710000002</v>
      </c>
      <c r="F76" s="120">
        <v>877601.83354999986</v>
      </c>
      <c r="G76" s="120">
        <v>884914.55536</v>
      </c>
      <c r="H76" s="120">
        <v>876302.08834000002</v>
      </c>
      <c r="I76" s="120">
        <v>876885.15957000002</v>
      </c>
      <c r="J76" s="120">
        <v>1003629.4189300002</v>
      </c>
      <c r="K76" s="120">
        <v>1010864.4553099999</v>
      </c>
      <c r="L76" s="120">
        <v>1017426.6785299999</v>
      </c>
      <c r="M76" s="120">
        <v>1025404.15702</v>
      </c>
      <c r="N76" s="141">
        <v>1033594.0206</v>
      </c>
      <c r="O76" s="141">
        <v>1244978</v>
      </c>
      <c r="P76" s="141">
        <f>SUM(P71:P75)</f>
        <v>1276341</v>
      </c>
      <c r="Q76" s="141">
        <f t="shared" ref="Q76" si="15">SUM(Q71:Q75)</f>
        <v>1257147</v>
      </c>
      <c r="R76" s="141">
        <v>1264363</v>
      </c>
      <c r="S76" s="141">
        <v>1269774.33369</v>
      </c>
      <c r="T76" s="141">
        <f t="shared" ref="T76" si="16">SUM(T71:T75)</f>
        <v>1277415</v>
      </c>
      <c r="V76" s="115" t="s">
        <v>124</v>
      </c>
      <c r="W76" s="141">
        <v>1283597.71664</v>
      </c>
      <c r="X76" s="141">
        <v>1336830.2120000003</v>
      </c>
      <c r="Y76" s="141">
        <v>1341168.9333899999</v>
      </c>
      <c r="Z76" s="141">
        <f t="shared" ref="Z76:AA76" si="17">+SUM(Z71:Z75)</f>
        <v>1349075.76348</v>
      </c>
      <c r="AA76" s="141">
        <f t="shared" si="17"/>
        <v>1359289.8398</v>
      </c>
      <c r="AB76" s="141">
        <v>1371458.574</v>
      </c>
    </row>
    <row r="77" spans="2:28" ht="15.6" thickBot="1">
      <c r="B77" s="121" t="s">
        <v>125</v>
      </c>
      <c r="C77" s="122">
        <v>865948.05568263156</v>
      </c>
      <c r="D77" s="122">
        <v>933850.31820999994</v>
      </c>
      <c r="E77" s="122">
        <v>1056518.79904</v>
      </c>
      <c r="F77" s="122">
        <v>993686.90387999988</v>
      </c>
      <c r="G77" s="122">
        <v>996044.79729000002</v>
      </c>
      <c r="H77" s="122">
        <v>989413.65522000007</v>
      </c>
      <c r="I77" s="122">
        <v>972399.07313000003</v>
      </c>
      <c r="J77" s="122">
        <v>1046549.0920100001</v>
      </c>
      <c r="K77" s="122">
        <v>1053612.4707699998</v>
      </c>
      <c r="L77" s="122">
        <v>1058905.33476</v>
      </c>
      <c r="M77" s="122">
        <v>1079280.15298</v>
      </c>
      <c r="N77" s="142">
        <v>1166458.7440599999</v>
      </c>
      <c r="O77" s="142">
        <v>1312859</v>
      </c>
      <c r="P77" s="142">
        <f>P69+P76</f>
        <v>1335402</v>
      </c>
      <c r="Q77" s="142">
        <f t="shared" ref="Q77" si="18">Q69+Q76</f>
        <v>1399516</v>
      </c>
      <c r="R77" s="142">
        <v>1376217</v>
      </c>
      <c r="S77" s="142">
        <v>1402138.49275</v>
      </c>
      <c r="T77" s="142">
        <f t="shared" ref="T77" si="19">T69+T76</f>
        <v>1402263</v>
      </c>
      <c r="V77" s="121" t="s">
        <v>125</v>
      </c>
      <c r="W77" s="142">
        <v>1421237.2689100001</v>
      </c>
      <c r="X77" s="142">
        <v>1379316.5809600004</v>
      </c>
      <c r="Y77" s="142">
        <v>1415395.94906</v>
      </c>
      <c r="Z77" s="142">
        <f t="shared" ref="Z77:AA77" si="20">+Z69+Z76</f>
        <v>1415776.5735199999</v>
      </c>
      <c r="AA77" s="142">
        <f t="shared" si="20"/>
        <v>1524549.8750100001</v>
      </c>
      <c r="AB77" s="142">
        <v>1505744.4890000001</v>
      </c>
    </row>
    <row r="78" spans="2:28" ht="15.6" thickBot="1">
      <c r="B78" s="123"/>
      <c r="C78" s="124"/>
      <c r="D78" s="124"/>
      <c r="E78" s="124"/>
      <c r="F78" s="124"/>
      <c r="G78" s="124"/>
      <c r="H78" s="124"/>
      <c r="I78" s="124"/>
      <c r="J78" s="124"/>
      <c r="K78" s="124"/>
      <c r="L78" s="124"/>
      <c r="M78" s="124"/>
      <c r="N78" s="143"/>
      <c r="O78" s="143"/>
      <c r="P78" s="143"/>
      <c r="Q78" s="143"/>
      <c r="R78" s="143"/>
      <c r="S78" s="143"/>
      <c r="T78" s="143"/>
      <c r="V78" s="123"/>
      <c r="W78" s="143"/>
      <c r="X78" s="143">
        <v>0</v>
      </c>
      <c r="Y78" s="143">
        <v>0</v>
      </c>
      <c r="Z78" s="143"/>
      <c r="AA78" s="143"/>
      <c r="AB78" s="143"/>
    </row>
    <row r="79" spans="2:28" ht="15.6" thickBot="1">
      <c r="B79" s="129" t="s">
        <v>126</v>
      </c>
      <c r="C79" s="128"/>
      <c r="D79" s="128"/>
      <c r="E79" s="128"/>
      <c r="F79" s="128"/>
      <c r="G79" s="128"/>
      <c r="H79" s="128"/>
      <c r="I79" s="128"/>
      <c r="J79" s="128"/>
      <c r="K79" s="128"/>
      <c r="L79" s="128"/>
      <c r="M79" s="128"/>
      <c r="N79" s="146"/>
      <c r="O79" s="146"/>
      <c r="P79" s="146"/>
      <c r="Q79" s="146"/>
      <c r="R79" s="146"/>
      <c r="S79" s="146"/>
      <c r="T79" s="146"/>
      <c r="V79" s="129" t="s">
        <v>126</v>
      </c>
      <c r="W79" s="146"/>
      <c r="X79" s="146"/>
      <c r="Y79" s="146"/>
      <c r="Z79" s="146"/>
      <c r="AA79" s="146"/>
      <c r="AB79" s="146"/>
    </row>
    <row r="80" spans="2:28" ht="15.6">
      <c r="B80" s="72" t="s">
        <v>127</v>
      </c>
      <c r="C80" s="107">
        <v>265409.19397999998</v>
      </c>
      <c r="D80" s="107">
        <v>265409.19397999998</v>
      </c>
      <c r="E80" s="107">
        <v>265409.19397999998</v>
      </c>
      <c r="F80" s="107">
        <v>265409.19397999998</v>
      </c>
      <c r="G80" s="107">
        <v>265409.19397999998</v>
      </c>
      <c r="H80" s="107">
        <v>265409.19397999998</v>
      </c>
      <c r="I80" s="107">
        <v>265409.19397999998</v>
      </c>
      <c r="J80" s="107">
        <v>265409.19397999998</v>
      </c>
      <c r="K80" s="107">
        <v>265409.19397999998</v>
      </c>
      <c r="L80" s="107">
        <v>265409.19397999998</v>
      </c>
      <c r="M80" s="107">
        <v>265409.19397999998</v>
      </c>
      <c r="N80" s="107">
        <v>265409.19397999998</v>
      </c>
      <c r="O80" s="107">
        <v>265409</v>
      </c>
      <c r="P80" s="155">
        <v>265409</v>
      </c>
      <c r="Q80" s="155">
        <v>265409</v>
      </c>
      <c r="R80" s="155">
        <v>265409</v>
      </c>
      <c r="S80" s="155">
        <v>265409.19397999998</v>
      </c>
      <c r="T80" s="155">
        <v>265409.19397999998</v>
      </c>
      <c r="V80" s="72" t="s">
        <v>127</v>
      </c>
      <c r="W80" s="155">
        <v>265409.19397999998</v>
      </c>
      <c r="X80" s="155">
        <v>265409.19397999998</v>
      </c>
      <c r="Y80" s="155">
        <v>265409.19397999998</v>
      </c>
      <c r="Z80" s="155">
        <v>265409.19397999998</v>
      </c>
      <c r="AA80" s="155">
        <v>265409.19397999998</v>
      </c>
      <c r="AB80" s="155">
        <v>265409.19400000002</v>
      </c>
    </row>
    <row r="81" spans="1:28" ht="15.6">
      <c r="B81" s="72" t="s">
        <v>128</v>
      </c>
      <c r="C81" s="107">
        <v>0</v>
      </c>
      <c r="D81" s="107">
        <v>0</v>
      </c>
      <c r="E81" s="107">
        <v>0</v>
      </c>
      <c r="F81" s="107">
        <v>0</v>
      </c>
      <c r="G81" s="107">
        <v>0</v>
      </c>
      <c r="H81" s="107">
        <v>0</v>
      </c>
      <c r="I81" s="107">
        <v>0</v>
      </c>
      <c r="J81" s="107">
        <v>0</v>
      </c>
      <c r="K81" s="107">
        <v>0</v>
      </c>
      <c r="L81" s="107">
        <v>0</v>
      </c>
      <c r="M81" s="107">
        <v>0</v>
      </c>
      <c r="N81" s="107">
        <v>0</v>
      </c>
      <c r="O81" s="107">
        <v>0</v>
      </c>
      <c r="P81" s="155">
        <v>0</v>
      </c>
      <c r="Q81" s="155">
        <v>0</v>
      </c>
      <c r="R81" s="155">
        <v>0</v>
      </c>
      <c r="S81" s="155">
        <v>0</v>
      </c>
      <c r="T81" s="155">
        <v>0</v>
      </c>
      <c r="V81" s="72" t="s">
        <v>128</v>
      </c>
      <c r="W81" s="155">
        <v>0</v>
      </c>
      <c r="X81" s="155">
        <v>0</v>
      </c>
      <c r="Y81" s="155">
        <v>0</v>
      </c>
      <c r="Z81" s="155">
        <v>0</v>
      </c>
      <c r="AA81" s="155">
        <v>0</v>
      </c>
      <c r="AB81" s="155">
        <v>0</v>
      </c>
    </row>
    <row r="82" spans="1:28" ht="15.6">
      <c r="B82" s="72" t="s">
        <v>405</v>
      </c>
      <c r="C82" s="107">
        <v>18213.73155</v>
      </c>
      <c r="D82" s="107">
        <v>22516.466550000001</v>
      </c>
      <c r="E82" s="107">
        <v>27005.51655</v>
      </c>
      <c r="F82" s="107">
        <v>27005.51655</v>
      </c>
      <c r="G82" s="107">
        <v>27005.51655</v>
      </c>
      <c r="H82" s="107">
        <v>27005.51655</v>
      </c>
      <c r="I82" s="107">
        <v>27005.517</v>
      </c>
      <c r="J82" s="107">
        <v>32175.186550000002</v>
      </c>
      <c r="K82" s="107">
        <v>32175.186550000002</v>
      </c>
      <c r="L82" s="107">
        <v>32175.186550000002</v>
      </c>
      <c r="M82" s="107">
        <v>37911.06955</v>
      </c>
      <c r="N82" s="107">
        <v>37911.06955</v>
      </c>
      <c r="O82" s="107">
        <v>37911</v>
      </c>
      <c r="P82" s="155">
        <v>37911</v>
      </c>
      <c r="Q82" s="155">
        <v>43910</v>
      </c>
      <c r="R82" s="155">
        <v>43910</v>
      </c>
      <c r="S82" s="155">
        <v>43909.538549999997</v>
      </c>
      <c r="T82" s="155">
        <v>43910</v>
      </c>
      <c r="V82" s="72" t="s">
        <v>405</v>
      </c>
      <c r="W82" s="155">
        <v>50177.250549999997</v>
      </c>
      <c r="X82" s="155">
        <v>50177.250549999997</v>
      </c>
      <c r="Y82" s="155">
        <v>50177.250549999997</v>
      </c>
      <c r="Z82" s="155">
        <v>50177.250549999997</v>
      </c>
      <c r="AA82" s="155">
        <v>50177.250549999997</v>
      </c>
      <c r="AB82" s="155">
        <v>53131.839</v>
      </c>
    </row>
    <row r="83" spans="1:28" ht="15.6">
      <c r="B83" s="72" t="s">
        <v>406</v>
      </c>
      <c r="C83" s="107">
        <v>127139.65247</v>
      </c>
      <c r="D83" s="107">
        <v>210754.76357999994</v>
      </c>
      <c r="E83" s="107">
        <v>153882.07629000003</v>
      </c>
      <c r="F83" s="107">
        <v>166306.05958</v>
      </c>
      <c r="G83" s="107">
        <v>179077.26233</v>
      </c>
      <c r="H83" s="107">
        <v>192645.04902999999</v>
      </c>
      <c r="I83" s="107">
        <v>208265.32913</v>
      </c>
      <c r="J83" s="107">
        <v>148863.08302000002</v>
      </c>
      <c r="K83" s="107">
        <v>163377.63139</v>
      </c>
      <c r="L83" s="107">
        <v>179834.21222999995</v>
      </c>
      <c r="M83" s="107">
        <v>187608.97097999998</v>
      </c>
      <c r="N83" s="107">
        <v>137115.47936999999</v>
      </c>
      <c r="O83" s="107">
        <v>153635</v>
      </c>
      <c r="P83" s="155">
        <v>169083</v>
      </c>
      <c r="Q83" s="155">
        <v>113730</v>
      </c>
      <c r="R83" s="155">
        <v>129078</v>
      </c>
      <c r="S83" s="155">
        <v>95415.725009999995</v>
      </c>
      <c r="T83" s="155">
        <v>110762</v>
      </c>
      <c r="V83" s="72" t="s">
        <v>406</v>
      </c>
      <c r="W83" s="155">
        <v>102199.61418</v>
      </c>
      <c r="X83" s="155">
        <v>120278.50977</v>
      </c>
      <c r="Y83" s="155">
        <v>136217.18132</v>
      </c>
      <c r="Z83" s="155">
        <f>157405972.36/1000</f>
        <v>157405.97236000001</v>
      </c>
      <c r="AA83" s="155">
        <v>105023.07868000001</v>
      </c>
      <c r="AB83" s="155">
        <v>127941.803</v>
      </c>
    </row>
    <row r="84" spans="1:28" ht="15.6">
      <c r="B84" s="72" t="s">
        <v>131</v>
      </c>
      <c r="C84" s="107">
        <v>43027.350349999993</v>
      </c>
      <c r="D84" s="107">
        <v>0</v>
      </c>
      <c r="E84" s="107">
        <v>0</v>
      </c>
      <c r="F84" s="107">
        <v>0</v>
      </c>
      <c r="G84" s="107">
        <v>0</v>
      </c>
      <c r="H84" s="107">
        <v>0</v>
      </c>
      <c r="I84" s="107">
        <v>0</v>
      </c>
      <c r="J84" s="107">
        <v>0</v>
      </c>
      <c r="K84" s="107">
        <v>0</v>
      </c>
      <c r="L84" s="107">
        <v>0</v>
      </c>
      <c r="M84" s="107">
        <v>0</v>
      </c>
      <c r="N84" s="107">
        <v>0</v>
      </c>
      <c r="O84" s="107">
        <v>0</v>
      </c>
      <c r="P84" s="155">
        <v>0</v>
      </c>
      <c r="Q84" s="155">
        <v>0</v>
      </c>
      <c r="R84" s="155">
        <v>0</v>
      </c>
      <c r="S84" s="155">
        <v>0</v>
      </c>
      <c r="T84" s="155">
        <v>0</v>
      </c>
      <c r="V84" s="72" t="s">
        <v>131</v>
      </c>
      <c r="W84" s="155">
        <v>0</v>
      </c>
      <c r="X84" s="155">
        <v>0</v>
      </c>
      <c r="Y84" s="155">
        <v>0</v>
      </c>
      <c r="Z84" s="155"/>
      <c r="AA84" s="155">
        <v>0</v>
      </c>
      <c r="AB84" s="155">
        <v>0</v>
      </c>
    </row>
    <row r="85" spans="1:28" ht="15.6">
      <c r="B85" s="72" t="s">
        <v>132</v>
      </c>
      <c r="C85" s="107">
        <v>0</v>
      </c>
      <c r="D85" s="107">
        <v>0</v>
      </c>
      <c r="E85" s="107">
        <v>0</v>
      </c>
      <c r="F85" s="107">
        <v>0</v>
      </c>
      <c r="G85" s="107">
        <v>0</v>
      </c>
      <c r="H85" s="107">
        <v>0</v>
      </c>
      <c r="I85" s="107">
        <v>0</v>
      </c>
      <c r="J85" s="107">
        <v>0</v>
      </c>
      <c r="K85" s="107">
        <v>0</v>
      </c>
      <c r="L85" s="107">
        <v>0</v>
      </c>
      <c r="M85" s="107">
        <v>0</v>
      </c>
      <c r="N85" s="107">
        <v>0</v>
      </c>
      <c r="O85" s="107">
        <v>0</v>
      </c>
      <c r="P85" s="155">
        <v>0</v>
      </c>
      <c r="Q85" s="155">
        <v>0</v>
      </c>
      <c r="R85" s="155">
        <v>0</v>
      </c>
      <c r="S85" s="155">
        <v>0</v>
      </c>
      <c r="T85" s="155">
        <v>0</v>
      </c>
      <c r="V85" s="72" t="s">
        <v>132</v>
      </c>
      <c r="W85" s="155">
        <v>0</v>
      </c>
      <c r="X85" s="155">
        <v>0</v>
      </c>
      <c r="Y85" s="155">
        <v>0</v>
      </c>
      <c r="Z85" s="155"/>
      <c r="AA85" s="155">
        <v>0</v>
      </c>
      <c r="AB85" s="155">
        <v>0</v>
      </c>
    </row>
    <row r="86" spans="1:28" ht="15.6" thickBot="1">
      <c r="B86" s="115" t="s">
        <v>135</v>
      </c>
      <c r="C86" s="120">
        <v>453789.92834999994</v>
      </c>
      <c r="D86" s="120">
        <v>498680.42410999991</v>
      </c>
      <c r="E86" s="120">
        <v>446296.78682000004</v>
      </c>
      <c r="F86" s="120">
        <v>458720.77010999998</v>
      </c>
      <c r="G86" s="120">
        <v>471491.97285999998</v>
      </c>
      <c r="H86" s="120">
        <v>485059.75955999998</v>
      </c>
      <c r="I86" s="120">
        <v>500680.04010999994</v>
      </c>
      <c r="J86" s="120">
        <v>446447.46354999999</v>
      </c>
      <c r="K86" s="120">
        <v>460962.01191999996</v>
      </c>
      <c r="L86" s="120">
        <v>477418.59275999991</v>
      </c>
      <c r="M86" s="120">
        <v>490929.23450999998</v>
      </c>
      <c r="N86" s="141">
        <v>440435.74289999995</v>
      </c>
      <c r="O86" s="141">
        <v>456955</v>
      </c>
      <c r="P86" s="141">
        <f>SUM(P80:P85)</f>
        <v>472403</v>
      </c>
      <c r="Q86" s="141">
        <f t="shared" ref="Q86" si="21">SUM(Q80:Q85)</f>
        <v>423049</v>
      </c>
      <c r="R86" s="141">
        <v>438397</v>
      </c>
      <c r="S86" s="141">
        <v>404734.45753999997</v>
      </c>
      <c r="T86" s="141">
        <f t="shared" ref="T86" si="22">SUM(T80:T85)</f>
        <v>420081.19397999998</v>
      </c>
      <c r="V86" s="115" t="s">
        <v>135</v>
      </c>
      <c r="W86" s="141">
        <v>417786.05871000001</v>
      </c>
      <c r="X86" s="141">
        <v>435864.95429999998</v>
      </c>
      <c r="Y86" s="141">
        <v>451803.62584999995</v>
      </c>
      <c r="Z86" s="141">
        <f>+SUM(Z80:Z85)</f>
        <v>472992.41688999999</v>
      </c>
      <c r="AA86" s="141">
        <f>+SUM(AA80:AA85)</f>
        <v>420609.52321000001</v>
      </c>
      <c r="AB86" s="141">
        <v>446482.83600000001</v>
      </c>
    </row>
    <row r="87" spans="1:28" ht="15.6" thickBot="1">
      <c r="B87" s="130" t="s">
        <v>136</v>
      </c>
      <c r="C87" s="122">
        <v>1319737.9840326314</v>
      </c>
      <c r="D87" s="122">
        <v>1432530.7423199997</v>
      </c>
      <c r="E87" s="122">
        <v>1502815.58586</v>
      </c>
      <c r="F87" s="122">
        <v>1452407.6739899998</v>
      </c>
      <c r="G87" s="122">
        <v>1467536.77015</v>
      </c>
      <c r="H87" s="122">
        <v>1474473.41478</v>
      </c>
      <c r="I87" s="122">
        <v>1473079.1132399999</v>
      </c>
      <c r="J87" s="122">
        <v>1492996.5555600002</v>
      </c>
      <c r="K87" s="122">
        <v>1514574.4826899997</v>
      </c>
      <c r="L87" s="122">
        <v>1536323.9275199999</v>
      </c>
      <c r="M87" s="122">
        <v>1570209.3874900001</v>
      </c>
      <c r="N87" s="142">
        <v>1606894.4869599999</v>
      </c>
      <c r="O87" s="142">
        <v>1769814</v>
      </c>
      <c r="P87" s="142">
        <f>P77+P86</f>
        <v>1807805</v>
      </c>
      <c r="Q87" s="142">
        <f t="shared" ref="Q87" si="23">Q77+Q86</f>
        <v>1822565</v>
      </c>
      <c r="R87" s="142">
        <v>1814614</v>
      </c>
      <c r="S87" s="142">
        <v>1806872.9502900001</v>
      </c>
      <c r="T87" s="142">
        <f t="shared" ref="T87" si="24">T77+T86</f>
        <v>1822344.19398</v>
      </c>
      <c r="V87" s="130" t="s">
        <v>136</v>
      </c>
      <c r="W87" s="142">
        <v>1839023.3276200001</v>
      </c>
      <c r="X87" s="142">
        <v>1815181.5352600003</v>
      </c>
      <c r="Y87" s="142">
        <v>1867199.57491</v>
      </c>
      <c r="Z87" s="142">
        <f>+Z77+Z86</f>
        <v>1888768.9904099999</v>
      </c>
      <c r="AA87" s="142">
        <f>+AA77+AA86</f>
        <v>1945159.3982200001</v>
      </c>
      <c r="AB87" s="142">
        <v>1952227.3250000002</v>
      </c>
    </row>
    <row r="88" spans="1:28" ht="15.6">
      <c r="B88" s="67"/>
      <c r="C88" s="147"/>
      <c r="D88" s="147"/>
      <c r="E88" s="147"/>
      <c r="F88" s="147"/>
      <c r="G88" s="147"/>
      <c r="H88" s="147"/>
      <c r="I88" s="147"/>
      <c r="J88" s="147"/>
      <c r="K88" s="147"/>
      <c r="L88" s="147"/>
      <c r="M88" s="147"/>
      <c r="N88" s="147"/>
      <c r="O88" s="147"/>
      <c r="P88" s="147"/>
      <c r="Q88" s="147"/>
      <c r="R88" s="147"/>
      <c r="S88" s="147"/>
    </row>
    <row r="89" spans="1:28" ht="15.6">
      <c r="B89" s="67"/>
      <c r="C89" s="105"/>
      <c r="D89" s="105"/>
      <c r="E89" s="105"/>
      <c r="F89" s="105"/>
      <c r="G89" s="105"/>
      <c r="H89" s="105"/>
      <c r="I89" s="105"/>
      <c r="J89" s="105"/>
      <c r="K89" s="105"/>
      <c r="L89" s="105"/>
      <c r="M89" s="105"/>
      <c r="N89" s="105"/>
      <c r="O89" s="105"/>
      <c r="P89" s="105"/>
      <c r="Q89" s="105"/>
      <c r="R89" s="105"/>
      <c r="S89" s="105"/>
    </row>
    <row r="90" spans="1:28" ht="15.6">
      <c r="B90" s="67"/>
      <c r="C90" s="67"/>
      <c r="D90" s="67"/>
      <c r="E90" s="67"/>
      <c r="F90" s="67"/>
      <c r="G90" s="67"/>
      <c r="H90" s="67"/>
      <c r="I90" s="67"/>
      <c r="J90" s="67"/>
      <c r="K90" s="67"/>
      <c r="L90" s="67"/>
      <c r="M90" s="67"/>
      <c r="N90" s="67"/>
      <c r="O90" s="67"/>
      <c r="P90" s="67"/>
      <c r="Q90" s="67"/>
      <c r="R90" s="67"/>
      <c r="S90" s="67"/>
    </row>
    <row r="91" spans="1:28" ht="15.6">
      <c r="A91" s="48" t="s">
        <v>137</v>
      </c>
      <c r="B91" s="11" t="s">
        <v>407</v>
      </c>
      <c r="C91" s="67"/>
      <c r="D91" s="67"/>
      <c r="E91" s="67"/>
      <c r="F91" s="67"/>
      <c r="G91" s="67"/>
      <c r="H91" s="67"/>
      <c r="I91" s="67"/>
      <c r="J91" s="67"/>
      <c r="K91" s="67"/>
      <c r="L91" s="67"/>
      <c r="M91" s="67"/>
      <c r="N91" s="67"/>
      <c r="O91" s="67"/>
      <c r="P91" s="67"/>
      <c r="Q91" s="67"/>
      <c r="R91" s="67"/>
      <c r="S91" s="67"/>
    </row>
    <row r="92" spans="1:28" ht="15.6">
      <c r="B92" s="13" t="s">
        <v>385</v>
      </c>
      <c r="C92" s="67"/>
      <c r="D92" s="67"/>
      <c r="E92" s="67"/>
      <c r="F92" s="67"/>
      <c r="G92" s="67"/>
      <c r="H92" s="111"/>
      <c r="I92" s="111"/>
      <c r="J92" s="111"/>
      <c r="K92" s="67"/>
      <c r="L92" s="111"/>
      <c r="M92" s="67"/>
      <c r="N92" s="67"/>
      <c r="O92" s="67"/>
      <c r="P92" s="67"/>
      <c r="Q92" s="67"/>
      <c r="R92" s="67"/>
      <c r="S92" s="67"/>
    </row>
    <row r="93" spans="1:28" ht="15.6">
      <c r="B93" s="67"/>
      <c r="C93" s="67"/>
      <c r="D93" s="67"/>
      <c r="E93" s="111"/>
      <c r="F93" s="111"/>
      <c r="G93" s="111"/>
      <c r="H93" s="111"/>
      <c r="I93" s="67"/>
      <c r="J93" s="67"/>
      <c r="K93" s="67"/>
      <c r="L93" s="111"/>
      <c r="M93" s="67"/>
      <c r="N93" s="67"/>
      <c r="O93" s="67"/>
      <c r="P93" s="67"/>
      <c r="Q93" s="67"/>
      <c r="R93" s="67"/>
      <c r="S93" s="67"/>
    </row>
    <row r="94" spans="1:28" ht="15">
      <c r="B94" s="250"/>
      <c r="C94" s="251">
        <v>2016</v>
      </c>
      <c r="D94" s="251">
        <v>2017</v>
      </c>
      <c r="E94" s="251" t="s">
        <v>40</v>
      </c>
      <c r="F94" s="251" t="s">
        <v>41</v>
      </c>
      <c r="G94" s="251" t="s">
        <v>42</v>
      </c>
      <c r="H94" s="251" t="s">
        <v>43</v>
      </c>
      <c r="I94" s="251" t="s">
        <v>44</v>
      </c>
      <c r="J94" s="251" t="s">
        <v>45</v>
      </c>
      <c r="K94" s="251" t="s">
        <v>46</v>
      </c>
      <c r="L94" s="251" t="s">
        <v>47</v>
      </c>
      <c r="M94" s="251" t="s">
        <v>48</v>
      </c>
      <c r="N94" s="251" t="s">
        <v>49</v>
      </c>
      <c r="O94" s="251" t="s">
        <v>50</v>
      </c>
      <c r="P94" s="251" t="s">
        <v>51</v>
      </c>
      <c r="Q94" s="251" t="s">
        <v>52</v>
      </c>
      <c r="R94" s="251" t="s">
        <v>53</v>
      </c>
      <c r="S94" s="251" t="s">
        <v>54</v>
      </c>
      <c r="T94" s="251" t="s">
        <v>55</v>
      </c>
      <c r="W94" s="251" t="s">
        <v>87</v>
      </c>
      <c r="X94" s="251" t="s">
        <v>56</v>
      </c>
      <c r="Y94" s="251" t="s">
        <v>57</v>
      </c>
      <c r="Z94" s="251" t="s">
        <v>1154</v>
      </c>
      <c r="AA94" s="251" t="str">
        <f>+AA7</f>
        <v>1T23</v>
      </c>
      <c r="AB94" s="251" t="s">
        <v>1207</v>
      </c>
    </row>
    <row r="95" spans="1:28" ht="15.6">
      <c r="B95" s="137"/>
      <c r="C95" s="31"/>
      <c r="D95" s="31"/>
      <c r="E95" s="31"/>
      <c r="F95" s="31"/>
      <c r="G95" s="31"/>
      <c r="H95" s="31"/>
      <c r="I95" s="31"/>
      <c r="J95" s="31"/>
      <c r="K95" s="31"/>
      <c r="L95" s="31"/>
      <c r="M95" s="31"/>
      <c r="N95" s="31"/>
      <c r="O95" s="31"/>
      <c r="P95" s="153"/>
      <c r="Q95" s="153"/>
      <c r="R95" s="153"/>
      <c r="S95" s="153"/>
    </row>
    <row r="96" spans="1:28" ht="15.6">
      <c r="B96" s="72" t="s">
        <v>58</v>
      </c>
      <c r="C96" s="107">
        <v>30837</v>
      </c>
      <c r="D96" s="107">
        <v>18651</v>
      </c>
      <c r="E96" s="107">
        <v>681</v>
      </c>
      <c r="F96" s="107">
        <v>847</v>
      </c>
      <c r="G96" s="107">
        <v>985</v>
      </c>
      <c r="H96" s="107">
        <v>10662</v>
      </c>
      <c r="I96" s="107">
        <v>3583</v>
      </c>
      <c r="J96" s="107">
        <v>1753</v>
      </c>
      <c r="K96" s="107">
        <v>287</v>
      </c>
      <c r="L96" s="107">
        <v>1795</v>
      </c>
      <c r="M96" s="107">
        <v>3646</v>
      </c>
      <c r="N96" s="107">
        <v>4418</v>
      </c>
      <c r="O96" s="107">
        <v>11173</v>
      </c>
      <c r="P96" s="155">
        <v>1779</v>
      </c>
      <c r="Q96" s="155">
        <v>1264</v>
      </c>
      <c r="R96" s="155">
        <v>1363</v>
      </c>
      <c r="S96" s="155">
        <v>-0.12613000000010288</v>
      </c>
      <c r="T96" s="155">
        <v>266</v>
      </c>
      <c r="V96" s="72" t="s">
        <v>58</v>
      </c>
      <c r="W96" s="155">
        <v>0</v>
      </c>
      <c r="X96" s="155">
        <v>24.52835</v>
      </c>
      <c r="Y96" s="155">
        <v>0</v>
      </c>
      <c r="Z96" s="155">
        <v>29.251999999999999</v>
      </c>
      <c r="AA96" s="155">
        <v>63.762699999999995</v>
      </c>
      <c r="AB96" s="155">
        <v>191.68923000000001</v>
      </c>
    </row>
    <row r="97" spans="2:28" ht="15.6">
      <c r="B97" s="72" t="s">
        <v>59</v>
      </c>
      <c r="C97" s="107">
        <v>30808</v>
      </c>
      <c r="D97" s="107">
        <v>18251</v>
      </c>
      <c r="E97" s="107">
        <v>504</v>
      </c>
      <c r="F97" s="107">
        <v>943</v>
      </c>
      <c r="G97" s="107">
        <v>949</v>
      </c>
      <c r="H97" s="107">
        <v>11129</v>
      </c>
      <c r="I97" s="107">
        <v>3593</v>
      </c>
      <c r="J97" s="107">
        <v>1742</v>
      </c>
      <c r="K97" s="107">
        <v>284</v>
      </c>
      <c r="L97" s="107">
        <v>1800</v>
      </c>
      <c r="M97" s="107">
        <v>3646</v>
      </c>
      <c r="N97" s="107">
        <v>4418</v>
      </c>
      <c r="O97" s="107">
        <v>11173</v>
      </c>
      <c r="P97" s="155">
        <v>1831</v>
      </c>
      <c r="Q97" s="155">
        <v>1270</v>
      </c>
      <c r="R97" s="155">
        <v>1432</v>
      </c>
      <c r="S97" s="155">
        <v>137.73720999999978</v>
      </c>
      <c r="T97" s="155">
        <v>48</v>
      </c>
      <c r="V97" s="72" t="s">
        <v>59</v>
      </c>
      <c r="W97" s="155">
        <v>0</v>
      </c>
      <c r="X97" s="155">
        <v>22.298500000000001</v>
      </c>
      <c r="Y97" s="155">
        <v>0</v>
      </c>
      <c r="Z97" s="155">
        <f>26593/1000</f>
        <v>26.593</v>
      </c>
      <c r="AA97" s="155">
        <v>63.762699999999995</v>
      </c>
      <c r="AB97" s="155">
        <v>186.82421000000002</v>
      </c>
    </row>
    <row r="98" spans="2:28" ht="15.6">
      <c r="B98" s="131" t="s">
        <v>60</v>
      </c>
      <c r="C98" s="138">
        <f t="shared" ref="C98:Q98" si="25">+C96-C97</f>
        <v>29</v>
      </c>
      <c r="D98" s="138">
        <f t="shared" si="25"/>
        <v>400</v>
      </c>
      <c r="E98" s="138">
        <f t="shared" si="25"/>
        <v>177</v>
      </c>
      <c r="F98" s="138">
        <f t="shared" si="25"/>
        <v>-96</v>
      </c>
      <c r="G98" s="138">
        <f t="shared" si="25"/>
        <v>36</v>
      </c>
      <c r="H98" s="138">
        <f t="shared" si="25"/>
        <v>-467</v>
      </c>
      <c r="I98" s="138">
        <f t="shared" si="25"/>
        <v>-10</v>
      </c>
      <c r="J98" s="138">
        <f t="shared" si="25"/>
        <v>11</v>
      </c>
      <c r="K98" s="138">
        <f t="shared" si="25"/>
        <v>3</v>
      </c>
      <c r="L98" s="138">
        <f t="shared" si="25"/>
        <v>-5</v>
      </c>
      <c r="M98" s="138">
        <f t="shared" si="25"/>
        <v>0</v>
      </c>
      <c r="N98" s="138">
        <f t="shared" si="25"/>
        <v>0</v>
      </c>
      <c r="O98" s="138">
        <v>0</v>
      </c>
      <c r="P98" s="157">
        <f t="shared" si="25"/>
        <v>-52</v>
      </c>
      <c r="Q98" s="157">
        <f t="shared" si="25"/>
        <v>-6</v>
      </c>
      <c r="R98" s="157">
        <v>-69</v>
      </c>
      <c r="S98" s="157">
        <v>-137.86333999999988</v>
      </c>
      <c r="T98" s="157">
        <f t="shared" ref="T98" si="26">+T96-T97</f>
        <v>218</v>
      </c>
      <c r="V98" s="131" t="s">
        <v>408</v>
      </c>
      <c r="W98" s="157">
        <v>0</v>
      </c>
      <c r="X98" s="157">
        <v>2.229849999999999</v>
      </c>
      <c r="Y98" s="157">
        <v>0</v>
      </c>
      <c r="Z98" s="155">
        <f>+Z96-Z97</f>
        <v>2.6589999999999989</v>
      </c>
      <c r="AA98" s="155">
        <f>+AA96-AA97</f>
        <v>0</v>
      </c>
      <c r="AB98" s="155">
        <v>4.865019999999987</v>
      </c>
    </row>
    <row r="99" spans="2:28" ht="15.6">
      <c r="B99" s="137"/>
      <c r="C99" s="8"/>
      <c r="D99" s="8"/>
      <c r="E99" s="8"/>
      <c r="F99" s="8"/>
      <c r="G99" s="8"/>
      <c r="H99" s="8"/>
      <c r="I99" s="8"/>
      <c r="J99" s="8"/>
      <c r="K99" s="8"/>
      <c r="L99" s="8"/>
      <c r="M99" s="8"/>
      <c r="N99" s="8"/>
      <c r="O99" s="8"/>
      <c r="P99" s="153"/>
      <c r="Q99" s="153"/>
      <c r="R99" s="153"/>
      <c r="S99" s="153"/>
      <c r="T99" s="153"/>
      <c r="V99" s="137"/>
      <c r="W99" s="153"/>
      <c r="X99" s="153"/>
      <c r="Y99" s="153"/>
      <c r="Z99" s="153"/>
      <c r="AA99" s="153"/>
      <c r="AB99" s="153"/>
    </row>
    <row r="100" spans="2:28" ht="15.6">
      <c r="B100" s="72" t="s">
        <v>409</v>
      </c>
      <c r="C100" s="107">
        <v>116591</v>
      </c>
      <c r="D100" s="107">
        <v>128337</v>
      </c>
      <c r="E100" s="107">
        <v>33702</v>
      </c>
      <c r="F100" s="107">
        <v>35790</v>
      </c>
      <c r="G100" s="107">
        <v>35784</v>
      </c>
      <c r="H100" s="107">
        <v>38494</v>
      </c>
      <c r="I100" s="107">
        <v>36262</v>
      </c>
      <c r="J100" s="107">
        <v>37670</v>
      </c>
      <c r="K100" s="107">
        <v>38176</v>
      </c>
      <c r="L100" s="107">
        <v>37354</v>
      </c>
      <c r="M100" s="107">
        <v>35845</v>
      </c>
      <c r="N100" s="107">
        <v>38423</v>
      </c>
      <c r="O100" s="107">
        <v>37404</v>
      </c>
      <c r="P100" s="155">
        <v>37287</v>
      </c>
      <c r="Q100" s="155">
        <v>38038</v>
      </c>
      <c r="R100" s="155">
        <v>38028</v>
      </c>
      <c r="S100" s="155">
        <v>38268.883549999999</v>
      </c>
      <c r="T100" s="155">
        <v>37991</v>
      </c>
      <c r="V100" s="72" t="s">
        <v>142</v>
      </c>
      <c r="W100" s="155">
        <v>38313.712049999995</v>
      </c>
      <c r="X100" s="155">
        <v>39437.627040000014</v>
      </c>
      <c r="Y100" s="155">
        <v>40031.745169999987</v>
      </c>
      <c r="Z100" s="155">
        <f>-117783+(157970645/1000)</f>
        <v>40187.64499999999</v>
      </c>
      <c r="AA100" s="155">
        <v>39194.974049999997</v>
      </c>
      <c r="AB100" s="155">
        <v>42571.977230000011</v>
      </c>
    </row>
    <row r="101" spans="2:28" ht="15.6">
      <c r="B101" s="72" t="s">
        <v>410</v>
      </c>
      <c r="C101" s="107">
        <v>20342</v>
      </c>
      <c r="D101" s="107">
        <v>16295</v>
      </c>
      <c r="E101" s="107">
        <v>4469</v>
      </c>
      <c r="F101" s="107">
        <v>3864</v>
      </c>
      <c r="G101" s="107">
        <v>4195</v>
      </c>
      <c r="H101" s="107">
        <v>9449</v>
      </c>
      <c r="I101" s="107">
        <v>4704</v>
      </c>
      <c r="J101" s="107">
        <v>5108</v>
      </c>
      <c r="K101" s="107">
        <v>4686</v>
      </c>
      <c r="L101" s="107">
        <v>4629</v>
      </c>
      <c r="M101" s="107">
        <v>4859</v>
      </c>
      <c r="N101" s="107">
        <v>4684</v>
      </c>
      <c r="O101" s="107">
        <v>4392</v>
      </c>
      <c r="P101" s="155">
        <v>4767</v>
      </c>
      <c r="Q101" s="155">
        <v>4764</v>
      </c>
      <c r="R101" s="155">
        <v>3902</v>
      </c>
      <c r="S101" s="155">
        <v>5903.5095799999999</v>
      </c>
      <c r="T101" s="155">
        <v>5006</v>
      </c>
      <c r="V101" s="72" t="s">
        <v>386</v>
      </c>
      <c r="W101" s="155">
        <v>6159.57474</v>
      </c>
      <c r="X101" s="155">
        <v>5173.4542700000002</v>
      </c>
      <c r="Y101" s="155">
        <v>4824.1697199999999</v>
      </c>
      <c r="Z101" s="155">
        <f>-16157+(22110777/1000)</f>
        <v>5953.7769999999982</v>
      </c>
      <c r="AA101" s="155">
        <v>4843.8594899999998</v>
      </c>
      <c r="AB101" s="155">
        <v>6628.0369099999998</v>
      </c>
    </row>
    <row r="102" spans="2:28" ht="15.6">
      <c r="B102" s="72" t="s">
        <v>411</v>
      </c>
      <c r="C102" s="107">
        <v>0</v>
      </c>
      <c r="D102" s="107">
        <v>0</v>
      </c>
      <c r="E102" s="107">
        <v>0</v>
      </c>
      <c r="F102" s="107">
        <v>0</v>
      </c>
      <c r="G102" s="107">
        <v>0</v>
      </c>
      <c r="H102" s="107">
        <v>0</v>
      </c>
      <c r="I102" s="107">
        <v>0</v>
      </c>
      <c r="J102" s="107">
        <v>0</v>
      </c>
      <c r="K102" s="107">
        <v>0</v>
      </c>
      <c r="L102" s="107">
        <v>0</v>
      </c>
      <c r="M102" s="107">
        <v>0</v>
      </c>
      <c r="N102" s="107">
        <v>0</v>
      </c>
      <c r="O102" s="107">
        <v>0</v>
      </c>
      <c r="P102" s="155">
        <v>110</v>
      </c>
      <c r="Q102" s="155">
        <v>0</v>
      </c>
      <c r="R102" s="155">
        <v>0</v>
      </c>
      <c r="S102" s="155">
        <v>0</v>
      </c>
      <c r="T102" s="155">
        <v>0</v>
      </c>
      <c r="V102" s="72" t="s">
        <v>68</v>
      </c>
      <c r="W102" s="155">
        <v>78.27758</v>
      </c>
      <c r="X102" s="155">
        <v>68.703999999999979</v>
      </c>
      <c r="Y102" s="155">
        <v>1613.0350200000003</v>
      </c>
      <c r="Z102" s="155">
        <f>-1760+(2398335/1000)</f>
        <v>638.33500000000004</v>
      </c>
      <c r="AA102" s="155">
        <v>491.17343</v>
      </c>
      <c r="AB102" s="155">
        <v>163.60981999999996</v>
      </c>
    </row>
    <row r="103" spans="2:28" ht="15.6">
      <c r="B103" s="72" t="s">
        <v>69</v>
      </c>
      <c r="C103" s="107">
        <v>44261</v>
      </c>
      <c r="D103" s="107">
        <f>41857+2222</f>
        <v>44079</v>
      </c>
      <c r="E103" s="107">
        <v>11359</v>
      </c>
      <c r="F103" s="107">
        <v>11199</v>
      </c>
      <c r="G103" s="107">
        <v>11646</v>
      </c>
      <c r="H103" s="148">
        <v>12170</v>
      </c>
      <c r="I103" s="107">
        <v>11111</v>
      </c>
      <c r="J103" s="107">
        <v>11834</v>
      </c>
      <c r="K103" s="107">
        <v>10933</v>
      </c>
      <c r="L103" s="107">
        <v>9452</v>
      </c>
      <c r="M103" s="107">
        <v>10188</v>
      </c>
      <c r="N103" s="107">
        <v>10939</v>
      </c>
      <c r="O103" s="107">
        <v>11062</v>
      </c>
      <c r="P103" s="155">
        <v>13809</v>
      </c>
      <c r="Q103" s="155">
        <v>10193</v>
      </c>
      <c r="R103" s="155">
        <v>11154</v>
      </c>
      <c r="S103" s="155">
        <v>12699.638699999996</v>
      </c>
      <c r="T103" s="155">
        <v>14495</v>
      </c>
      <c r="V103" s="72" t="s">
        <v>69</v>
      </c>
      <c r="W103" s="155">
        <v>11742.731930000002</v>
      </c>
      <c r="X103" s="155">
        <v>12583.656399999996</v>
      </c>
      <c r="Y103" s="155">
        <v>10538.327090000002</v>
      </c>
      <c r="Z103" s="155">
        <f>-34865+(46800607/1000)</f>
        <v>11935.607000000004</v>
      </c>
      <c r="AA103" s="155">
        <v>12885.82668</v>
      </c>
      <c r="AB103" s="155">
        <v>12385.219620000005</v>
      </c>
    </row>
    <row r="104" spans="2:28" ht="15.6">
      <c r="B104" s="131" t="s">
        <v>70</v>
      </c>
      <c r="C104" s="138">
        <f t="shared" ref="C104:P104" si="27">+SUM(C100:C102)-C103</f>
        <v>92672</v>
      </c>
      <c r="D104" s="138">
        <f t="shared" si="27"/>
        <v>100553</v>
      </c>
      <c r="E104" s="138">
        <f t="shared" si="27"/>
        <v>26812</v>
      </c>
      <c r="F104" s="138">
        <f t="shared" si="27"/>
        <v>28455</v>
      </c>
      <c r="G104" s="138">
        <f t="shared" si="27"/>
        <v>28333</v>
      </c>
      <c r="H104" s="138">
        <f t="shared" si="27"/>
        <v>35773</v>
      </c>
      <c r="I104" s="138">
        <f t="shared" si="27"/>
        <v>29855</v>
      </c>
      <c r="J104" s="138">
        <f t="shared" si="27"/>
        <v>30944</v>
      </c>
      <c r="K104" s="138">
        <f t="shared" si="27"/>
        <v>31929</v>
      </c>
      <c r="L104" s="138">
        <f t="shared" si="27"/>
        <v>32531</v>
      </c>
      <c r="M104" s="138">
        <f t="shared" si="27"/>
        <v>30516</v>
      </c>
      <c r="N104" s="138">
        <f t="shared" si="27"/>
        <v>32168</v>
      </c>
      <c r="O104" s="138">
        <v>30734</v>
      </c>
      <c r="P104" s="157">
        <f t="shared" si="27"/>
        <v>28355</v>
      </c>
      <c r="Q104" s="157">
        <f t="shared" ref="Q104" si="28">+SUM(Q100:Q102)-Q103</f>
        <v>32609</v>
      </c>
      <c r="R104" s="157">
        <v>30776</v>
      </c>
      <c r="S104" s="157">
        <v>31472.754430000001</v>
      </c>
      <c r="T104" s="157">
        <f t="shared" ref="T104" si="29">+SUM(T100:T102)-T103</f>
        <v>28502</v>
      </c>
      <c r="V104" s="72" t="s">
        <v>71</v>
      </c>
      <c r="W104" s="155">
        <v>9041.4740300000012</v>
      </c>
      <c r="X104" s="155">
        <v>9179.2916799999985</v>
      </c>
      <c r="Y104" s="155">
        <v>9057.1291799999999</v>
      </c>
      <c r="Z104" s="155">
        <f>-27278+(38116806/1000)+1</f>
        <v>10839.805999999997</v>
      </c>
      <c r="AA104" s="155">
        <v>8867.2849200000001</v>
      </c>
      <c r="AB104" s="155">
        <f>8955.04724+9.99223</f>
        <v>8965.0394699999997</v>
      </c>
    </row>
    <row r="105" spans="2:28" ht="15.6">
      <c r="B105" s="74" t="s">
        <v>147</v>
      </c>
      <c r="C105" s="108">
        <f>+C98+C104</f>
        <v>92701</v>
      </c>
      <c r="D105" s="108">
        <f t="shared" ref="D105:Q105" si="30">+D98+D104</f>
        <v>100953</v>
      </c>
      <c r="E105" s="108">
        <f t="shared" si="30"/>
        <v>26989</v>
      </c>
      <c r="F105" s="108">
        <f t="shared" si="30"/>
        <v>28359</v>
      </c>
      <c r="G105" s="108">
        <f t="shared" si="30"/>
        <v>28369</v>
      </c>
      <c r="H105" s="108">
        <f t="shared" si="30"/>
        <v>35306</v>
      </c>
      <c r="I105" s="108">
        <f t="shared" si="30"/>
        <v>29845</v>
      </c>
      <c r="J105" s="108">
        <f t="shared" si="30"/>
        <v>30955</v>
      </c>
      <c r="K105" s="108">
        <f t="shared" si="30"/>
        <v>31932</v>
      </c>
      <c r="L105" s="108">
        <f t="shared" si="30"/>
        <v>32526</v>
      </c>
      <c r="M105" s="108">
        <f t="shared" si="30"/>
        <v>30516</v>
      </c>
      <c r="N105" s="108">
        <f t="shared" si="30"/>
        <v>32168</v>
      </c>
      <c r="O105" s="108">
        <v>30734</v>
      </c>
      <c r="P105" s="159">
        <f t="shared" si="30"/>
        <v>28303</v>
      </c>
      <c r="Q105" s="159">
        <f t="shared" si="30"/>
        <v>32603</v>
      </c>
      <c r="R105" s="159">
        <v>30707</v>
      </c>
      <c r="S105" s="159">
        <v>31334.891090000001</v>
      </c>
      <c r="T105" s="159">
        <f t="shared" ref="T105" si="31">+T98+T104</f>
        <v>28720</v>
      </c>
      <c r="V105" s="74" t="s">
        <v>73</v>
      </c>
      <c r="W105" s="159">
        <v>23767.358409999997</v>
      </c>
      <c r="X105" s="159">
        <v>22919.067080000019</v>
      </c>
      <c r="Y105" s="159">
        <v>26873.493639999986</v>
      </c>
      <c r="Z105" s="159">
        <f>+SUM(Z100:Z102)-SUM(Z103:Z104)+Z98</f>
        <v>24007.00299999999</v>
      </c>
      <c r="AA105" s="159">
        <f>+SUM(AA100:AA102)-SUM(AA103:AA104)+AA98</f>
        <v>22776.895370000002</v>
      </c>
      <c r="AB105" s="159">
        <f>+AB98+AB100+AB101+AB102-AB103-AB104</f>
        <v>28018.229890000006</v>
      </c>
    </row>
    <row r="106" spans="2:28" ht="15.6">
      <c r="B106" s="71"/>
      <c r="C106" s="8"/>
      <c r="D106" s="8"/>
      <c r="E106" s="8"/>
      <c r="F106" s="8"/>
      <c r="G106" s="8"/>
      <c r="H106" s="8"/>
      <c r="I106" s="8"/>
      <c r="J106" s="8"/>
      <c r="K106" s="8"/>
      <c r="L106" s="8"/>
      <c r="M106" s="8"/>
      <c r="N106" s="8"/>
      <c r="O106" s="8"/>
      <c r="P106" s="153"/>
      <c r="Q106" s="153"/>
      <c r="R106" s="153"/>
      <c r="S106" s="153"/>
      <c r="T106" s="153"/>
      <c r="V106" s="71"/>
      <c r="W106" s="153"/>
      <c r="X106" s="153"/>
      <c r="Y106" s="153"/>
      <c r="Z106" s="153"/>
      <c r="AA106" s="153"/>
      <c r="AB106" s="153"/>
    </row>
    <row r="107" spans="2:28" ht="15.6">
      <c r="B107" s="72" t="s">
        <v>71</v>
      </c>
      <c r="C107" s="149">
        <v>39467</v>
      </c>
      <c r="D107" s="149">
        <v>42909</v>
      </c>
      <c r="E107" s="149">
        <v>10593</v>
      </c>
      <c r="F107" s="149">
        <v>10578</v>
      </c>
      <c r="G107" s="149">
        <v>10546</v>
      </c>
      <c r="H107" s="149">
        <v>10617</v>
      </c>
      <c r="I107" s="149">
        <v>10571</v>
      </c>
      <c r="J107" s="149">
        <v>10974</v>
      </c>
      <c r="K107" s="149">
        <v>10897</v>
      </c>
      <c r="L107" s="149">
        <v>-8660</v>
      </c>
      <c r="M107" s="149">
        <v>10418</v>
      </c>
      <c r="N107" s="149">
        <v>10487</v>
      </c>
      <c r="O107" s="149">
        <v>10439</v>
      </c>
      <c r="P107" s="293">
        <v>11202</v>
      </c>
      <c r="Q107" s="293">
        <v>10463</v>
      </c>
      <c r="R107" s="293">
        <v>10533</v>
      </c>
      <c r="S107" s="293">
        <v>10518.46731</v>
      </c>
      <c r="T107" s="293">
        <v>9731</v>
      </c>
      <c r="V107" s="72"/>
      <c r="W107" s="293"/>
      <c r="X107" s="293">
        <v>0</v>
      </c>
      <c r="Y107" s="293">
        <v>0</v>
      </c>
      <c r="Z107" s="293"/>
      <c r="AA107" s="293"/>
      <c r="AB107" s="293"/>
    </row>
    <row r="108" spans="2:28" ht="15.6">
      <c r="B108" s="72" t="s">
        <v>74</v>
      </c>
      <c r="C108" s="107">
        <v>0</v>
      </c>
      <c r="D108" s="107">
        <v>0</v>
      </c>
      <c r="E108" s="107">
        <v>0</v>
      </c>
      <c r="F108" s="107">
        <v>0</v>
      </c>
      <c r="G108" s="107">
        <v>0</v>
      </c>
      <c r="H108" s="107">
        <v>0</v>
      </c>
      <c r="I108" s="107">
        <v>0</v>
      </c>
      <c r="J108" s="107">
        <v>0</v>
      </c>
      <c r="K108" s="107">
        <v>0</v>
      </c>
      <c r="L108" s="107">
        <v>0</v>
      </c>
      <c r="M108" s="107">
        <v>0</v>
      </c>
      <c r="N108" s="107">
        <v>0</v>
      </c>
      <c r="O108" s="107">
        <v>0</v>
      </c>
      <c r="P108" s="155">
        <v>0</v>
      </c>
      <c r="Q108" s="155">
        <v>0</v>
      </c>
      <c r="R108" s="155">
        <v>0</v>
      </c>
      <c r="S108" s="155">
        <v>0</v>
      </c>
      <c r="T108" s="155">
        <v>0</v>
      </c>
      <c r="V108" s="72" t="s">
        <v>74</v>
      </c>
      <c r="W108" s="155"/>
      <c r="X108" s="155">
        <v>0</v>
      </c>
      <c r="Y108" s="155">
        <v>0</v>
      </c>
      <c r="Z108" s="155"/>
      <c r="AA108" s="155"/>
      <c r="AB108" s="155"/>
    </row>
    <row r="109" spans="2:28" ht="15.6">
      <c r="B109" s="72" t="s">
        <v>75</v>
      </c>
      <c r="C109" s="107">
        <v>1312</v>
      </c>
      <c r="D109" s="107">
        <v>2222</v>
      </c>
      <c r="E109" s="107">
        <v>358</v>
      </c>
      <c r="F109" s="107">
        <v>192</v>
      </c>
      <c r="G109" s="107">
        <v>575</v>
      </c>
      <c r="H109" s="107">
        <f>1609-E109-F109-G109</f>
        <v>484</v>
      </c>
      <c r="I109" s="107">
        <v>-218</v>
      </c>
      <c r="J109" s="107">
        <v>-84</v>
      </c>
      <c r="K109" s="107">
        <v>-267</v>
      </c>
      <c r="L109" s="107">
        <v>-130</v>
      </c>
      <c r="M109" s="107">
        <f>-ROUND(161225.72/1000,0)</f>
        <v>-161</v>
      </c>
      <c r="N109" s="107">
        <f>-ROUND(110194.07/1000,0)</f>
        <v>-110</v>
      </c>
      <c r="O109" s="107">
        <v>271</v>
      </c>
      <c r="P109" s="155">
        <v>0</v>
      </c>
      <c r="Q109" s="155">
        <v>709</v>
      </c>
      <c r="R109" s="155">
        <v>-309</v>
      </c>
      <c r="S109" s="155">
        <v>123.70071000000007</v>
      </c>
      <c r="T109" s="155">
        <v>3530</v>
      </c>
      <c r="V109" s="72" t="s">
        <v>75</v>
      </c>
      <c r="W109" s="155">
        <v>-3.92821</v>
      </c>
      <c r="X109" s="155">
        <v>-59.429249999999996</v>
      </c>
      <c r="Y109" s="155">
        <v>-0.75295000000000556</v>
      </c>
      <c r="Z109" s="155">
        <f>64+(70594/1000)</f>
        <v>134.59399999999999</v>
      </c>
      <c r="AA109" s="155">
        <v>0</v>
      </c>
      <c r="AB109" s="155">
        <v>0</v>
      </c>
    </row>
    <row r="110" spans="2:28" ht="15.6">
      <c r="B110" s="74" t="s">
        <v>76</v>
      </c>
      <c r="C110" s="108">
        <f>+C105-C107+C108+C109</f>
        <v>54546</v>
      </c>
      <c r="D110" s="108">
        <f t="shared" ref="D110:Q110" si="32">+D105-D107+D108+D109</f>
        <v>60266</v>
      </c>
      <c r="E110" s="108">
        <f t="shared" si="32"/>
        <v>16754</v>
      </c>
      <c r="F110" s="108">
        <f t="shared" si="32"/>
        <v>17973</v>
      </c>
      <c r="G110" s="108">
        <f t="shared" si="32"/>
        <v>18398</v>
      </c>
      <c r="H110" s="108">
        <f t="shared" si="32"/>
        <v>25173</v>
      </c>
      <c r="I110" s="108">
        <f t="shared" si="32"/>
        <v>19056</v>
      </c>
      <c r="J110" s="108">
        <f t="shared" si="32"/>
        <v>19897</v>
      </c>
      <c r="K110" s="108">
        <f t="shared" si="32"/>
        <v>20768</v>
      </c>
      <c r="L110" s="108">
        <f t="shared" si="32"/>
        <v>41056</v>
      </c>
      <c r="M110" s="108">
        <f t="shared" si="32"/>
        <v>19937</v>
      </c>
      <c r="N110" s="108">
        <f t="shared" si="32"/>
        <v>21571</v>
      </c>
      <c r="O110" s="108">
        <v>20566</v>
      </c>
      <c r="P110" s="159">
        <f t="shared" si="32"/>
        <v>17101</v>
      </c>
      <c r="Q110" s="159">
        <f t="shared" si="32"/>
        <v>22849</v>
      </c>
      <c r="R110" s="159">
        <v>19865</v>
      </c>
      <c r="S110" s="159">
        <v>20940.124490000002</v>
      </c>
      <c r="T110" s="159">
        <f t="shared" ref="T110" si="33">+T105-T107+T108+T109</f>
        <v>22519</v>
      </c>
      <c r="V110" s="74" t="s">
        <v>76</v>
      </c>
      <c r="W110" s="159">
        <v>23763.430199999999</v>
      </c>
      <c r="X110" s="159">
        <v>22859.637830000018</v>
      </c>
      <c r="Y110" s="159">
        <v>26872.740689999988</v>
      </c>
      <c r="Z110" s="159">
        <f t="shared" ref="Z110:AA110" si="34">+Z105+Z108-Z109</f>
        <v>23872.408999999989</v>
      </c>
      <c r="AA110" s="159">
        <f t="shared" si="34"/>
        <v>22776.895370000002</v>
      </c>
      <c r="AB110" s="159">
        <f>+AB105+AB109</f>
        <v>28018.229890000006</v>
      </c>
    </row>
    <row r="111" spans="2:28" ht="15.6">
      <c r="B111" s="72"/>
      <c r="C111" s="107"/>
      <c r="D111" s="107"/>
      <c r="E111" s="107"/>
      <c r="F111" s="107"/>
      <c r="G111" s="107"/>
      <c r="H111" s="107"/>
      <c r="I111" s="107"/>
      <c r="J111" s="107"/>
      <c r="K111" s="107"/>
      <c r="L111" s="107"/>
      <c r="M111" s="107"/>
      <c r="N111" s="107"/>
      <c r="O111" s="107"/>
      <c r="P111" s="155"/>
      <c r="Q111" s="155"/>
      <c r="R111" s="155"/>
      <c r="S111" s="155">
        <v>0</v>
      </c>
      <c r="T111" s="155"/>
      <c r="V111" s="72"/>
      <c r="W111" s="155"/>
      <c r="X111" s="155">
        <v>0</v>
      </c>
      <c r="Y111" s="155">
        <v>0</v>
      </c>
      <c r="Z111" s="155"/>
      <c r="AA111" s="155"/>
      <c r="AB111" s="155"/>
    </row>
    <row r="112" spans="2:28" ht="15.6">
      <c r="B112" s="72" t="s">
        <v>77</v>
      </c>
      <c r="C112" s="107">
        <v>-14091</v>
      </c>
      <c r="D112" s="107">
        <v>-11195</v>
      </c>
      <c r="E112" s="107">
        <v>-3430</v>
      </c>
      <c r="F112" s="107">
        <v>-2930</v>
      </c>
      <c r="G112" s="107">
        <v>-3295</v>
      </c>
      <c r="H112" s="107">
        <v>-3146</v>
      </c>
      <c r="I112" s="107">
        <v>-2574</v>
      </c>
      <c r="J112" s="107">
        <v>-3014</v>
      </c>
      <c r="K112" s="107">
        <v>-3347</v>
      </c>
      <c r="L112" s="107">
        <f>-10438-I112-J112-K112</f>
        <v>-1503</v>
      </c>
      <c r="M112" s="107">
        <v>-3889</v>
      </c>
      <c r="N112" s="107">
        <v>-4279</v>
      </c>
      <c r="O112" s="107">
        <v>-3844</v>
      </c>
      <c r="P112" s="155">
        <v>-2344</v>
      </c>
      <c r="Q112" s="155">
        <v>-4427</v>
      </c>
      <c r="R112" s="155">
        <v>-3797</v>
      </c>
      <c r="S112" s="155">
        <v>-1278.6547699999992</v>
      </c>
      <c r="T112" s="155">
        <v>-2140</v>
      </c>
      <c r="V112" s="72" t="s">
        <v>77</v>
      </c>
      <c r="W112" s="155">
        <v>-2944.6895299999996</v>
      </c>
      <c r="X112" s="155">
        <v>-1782.7179900000001</v>
      </c>
      <c r="Y112" s="155">
        <v>-2233.3697599999996</v>
      </c>
      <c r="Z112" s="155">
        <f>6961+(-9318653/1000)</f>
        <v>-2357.6530000000002</v>
      </c>
      <c r="AA112" s="155">
        <v>-3263.02846</v>
      </c>
      <c r="AB112" s="155">
        <v>-2488.3841600000001</v>
      </c>
    </row>
    <row r="113" spans="1:28" ht="15.6">
      <c r="B113" s="74" t="s">
        <v>78</v>
      </c>
      <c r="C113" s="109">
        <f>+C110+C112</f>
        <v>40455</v>
      </c>
      <c r="D113" s="109">
        <f t="shared" ref="D113:Q113" si="35">+D110+D112</f>
        <v>49071</v>
      </c>
      <c r="E113" s="109">
        <f t="shared" si="35"/>
        <v>13324</v>
      </c>
      <c r="F113" s="109">
        <f t="shared" si="35"/>
        <v>15043</v>
      </c>
      <c r="G113" s="109">
        <f t="shared" si="35"/>
        <v>15103</v>
      </c>
      <c r="H113" s="109">
        <f t="shared" si="35"/>
        <v>22027</v>
      </c>
      <c r="I113" s="109">
        <f t="shared" si="35"/>
        <v>16482</v>
      </c>
      <c r="J113" s="109">
        <f t="shared" si="35"/>
        <v>16883</v>
      </c>
      <c r="K113" s="109">
        <f t="shared" si="35"/>
        <v>17421</v>
      </c>
      <c r="L113" s="109">
        <f t="shared" si="35"/>
        <v>39553</v>
      </c>
      <c r="M113" s="109">
        <f t="shared" si="35"/>
        <v>16048</v>
      </c>
      <c r="N113" s="109">
        <f t="shared" si="35"/>
        <v>17292</v>
      </c>
      <c r="O113" s="109">
        <v>16722</v>
      </c>
      <c r="P113" s="289">
        <f t="shared" si="35"/>
        <v>14757</v>
      </c>
      <c r="Q113" s="289">
        <f t="shared" si="35"/>
        <v>18422</v>
      </c>
      <c r="R113" s="289">
        <v>16068</v>
      </c>
      <c r="S113" s="289">
        <v>19661.469720000001</v>
      </c>
      <c r="T113" s="289">
        <f t="shared" ref="T113" si="36">+T110+T112</f>
        <v>20379</v>
      </c>
      <c r="V113" s="74" t="s">
        <v>78</v>
      </c>
      <c r="W113" s="289">
        <v>20818.740669999999</v>
      </c>
      <c r="X113" s="289">
        <v>21076.919840000017</v>
      </c>
      <c r="Y113" s="289">
        <v>24639.37092999999</v>
      </c>
      <c r="Z113" s="289">
        <f t="shared" ref="Z113:AA113" si="37">+Z110+Z112</f>
        <v>21514.755999999987</v>
      </c>
      <c r="AA113" s="289">
        <f t="shared" si="37"/>
        <v>19513.866910000001</v>
      </c>
      <c r="AB113" s="289">
        <v>25529.845730000005</v>
      </c>
    </row>
    <row r="114" spans="1:28" ht="15.6">
      <c r="B114" s="71"/>
      <c r="C114" s="8"/>
      <c r="D114" s="8"/>
      <c r="E114" s="8"/>
      <c r="F114" s="8"/>
      <c r="G114" s="8"/>
      <c r="H114" s="8"/>
      <c r="I114" s="150"/>
      <c r="J114" s="150"/>
      <c r="K114" s="8"/>
      <c r="L114" s="8"/>
      <c r="M114" s="8"/>
      <c r="N114" s="8"/>
      <c r="O114" s="8"/>
      <c r="P114" s="153"/>
      <c r="Q114" s="153"/>
      <c r="R114" s="153"/>
      <c r="S114" s="153"/>
      <c r="T114" s="153"/>
      <c r="V114" s="71"/>
      <c r="W114" s="153"/>
      <c r="X114" s="153"/>
      <c r="Y114" s="153"/>
      <c r="Z114" s="153"/>
      <c r="AA114" s="153"/>
      <c r="AB114" s="153"/>
    </row>
    <row r="115" spans="1:28" ht="15.6">
      <c r="B115" s="72" t="s">
        <v>79</v>
      </c>
      <c r="C115" s="107">
        <v>10419</v>
      </c>
      <c r="D115" s="107">
        <v>18827</v>
      </c>
      <c r="E115" s="107">
        <v>3617</v>
      </c>
      <c r="F115" s="107">
        <v>4519</v>
      </c>
      <c r="G115" s="107">
        <v>4188</v>
      </c>
      <c r="H115" s="107">
        <v>6136</v>
      </c>
      <c r="I115" s="107">
        <v>4530</v>
      </c>
      <c r="J115" s="107">
        <v>5066</v>
      </c>
      <c r="K115" s="107">
        <v>4601</v>
      </c>
      <c r="L115" s="107">
        <v>11208</v>
      </c>
      <c r="M115" s="107">
        <v>4337</v>
      </c>
      <c r="N115" s="107">
        <v>4700</v>
      </c>
      <c r="O115" s="107">
        <v>4539</v>
      </c>
      <c r="P115" s="155">
        <v>5036</v>
      </c>
      <c r="Q115" s="155">
        <v>5099</v>
      </c>
      <c r="R115" s="155">
        <v>3987</v>
      </c>
      <c r="S115" s="155">
        <v>5343.7957800000004</v>
      </c>
      <c r="T115" s="155">
        <v>5936</v>
      </c>
      <c r="V115" s="72" t="s">
        <v>79</v>
      </c>
      <c r="W115" s="155">
        <v>5686.0379599999997</v>
      </c>
      <c r="X115" s="155">
        <v>6132.5513199999996</v>
      </c>
      <c r="Y115" s="155">
        <v>6516.7445699999998</v>
      </c>
      <c r="Z115" s="155">
        <f>-18335+(-24181115/1000)</f>
        <v>-42516.115000000005</v>
      </c>
      <c r="AA115" s="155">
        <v>-5300.1281300000001</v>
      </c>
      <c r="AB115" s="155">
        <v>-7239.3476000000001</v>
      </c>
    </row>
    <row r="116" spans="1:28" ht="15.6">
      <c r="B116" s="74" t="s">
        <v>82</v>
      </c>
      <c r="C116" s="109">
        <f>+C113-C115</f>
        <v>30036</v>
      </c>
      <c r="D116" s="109">
        <f t="shared" ref="D116:Q116" si="38">+D113-D115</f>
        <v>30244</v>
      </c>
      <c r="E116" s="109">
        <f t="shared" si="38"/>
        <v>9707</v>
      </c>
      <c r="F116" s="109">
        <f t="shared" si="38"/>
        <v>10524</v>
      </c>
      <c r="G116" s="109">
        <f t="shared" si="38"/>
        <v>10915</v>
      </c>
      <c r="H116" s="109">
        <f t="shared" si="38"/>
        <v>15891</v>
      </c>
      <c r="I116" s="109">
        <f t="shared" si="38"/>
        <v>11952</v>
      </c>
      <c r="J116" s="109">
        <f t="shared" si="38"/>
        <v>11817</v>
      </c>
      <c r="K116" s="109">
        <f t="shared" si="38"/>
        <v>12820</v>
      </c>
      <c r="L116" s="109">
        <f t="shared" si="38"/>
        <v>28345</v>
      </c>
      <c r="M116" s="109">
        <f t="shared" si="38"/>
        <v>11711</v>
      </c>
      <c r="N116" s="109">
        <f t="shared" si="38"/>
        <v>12592</v>
      </c>
      <c r="O116" s="109">
        <v>12183</v>
      </c>
      <c r="P116" s="289">
        <f t="shared" si="38"/>
        <v>9721</v>
      </c>
      <c r="Q116" s="289">
        <f t="shared" si="38"/>
        <v>13323</v>
      </c>
      <c r="R116" s="289">
        <v>12081</v>
      </c>
      <c r="S116" s="289">
        <v>14317.673940000001</v>
      </c>
      <c r="T116" s="289">
        <f t="shared" ref="T116" si="39">+T113-T115</f>
        <v>14443</v>
      </c>
      <c r="V116" s="74" t="s">
        <v>82</v>
      </c>
      <c r="W116" s="289">
        <v>15132.70271</v>
      </c>
      <c r="X116" s="289">
        <v>14944.368520000018</v>
      </c>
      <c r="Y116" s="289">
        <v>18122.626359999991</v>
      </c>
      <c r="Z116" s="289">
        <f t="shared" ref="Z116:AA116" si="40">+Z113+Z115</f>
        <v>-21001.359000000019</v>
      </c>
      <c r="AA116" s="289">
        <f t="shared" si="40"/>
        <v>14213.73878</v>
      </c>
      <c r="AB116" s="289">
        <v>18290.498130000004</v>
      </c>
    </row>
    <row r="117" spans="1:28" ht="15.6">
      <c r="B117" s="151"/>
      <c r="C117" s="67"/>
      <c r="D117" s="67"/>
      <c r="E117" s="67"/>
      <c r="F117" s="67"/>
      <c r="G117" s="67"/>
      <c r="H117" s="67"/>
      <c r="I117" s="67"/>
      <c r="J117" s="67"/>
      <c r="K117" s="67"/>
      <c r="L117" s="67"/>
      <c r="M117" s="67"/>
      <c r="N117" s="67"/>
      <c r="O117" s="67"/>
      <c r="P117" s="67"/>
      <c r="Q117" s="67"/>
      <c r="R117" s="67"/>
      <c r="S117" s="67"/>
    </row>
    <row r="118" spans="1:28" ht="15.6">
      <c r="B118" s="151"/>
      <c r="C118" s="67"/>
      <c r="D118" s="67"/>
      <c r="E118" s="67"/>
      <c r="F118" s="67"/>
      <c r="G118" s="67"/>
      <c r="H118" s="67"/>
      <c r="I118" s="67"/>
      <c r="J118" s="67"/>
      <c r="K118" s="67"/>
      <c r="L118" s="67"/>
      <c r="M118" s="67"/>
      <c r="N118" s="67"/>
      <c r="O118" s="67"/>
      <c r="P118" s="67"/>
      <c r="Q118" s="67"/>
      <c r="R118" s="67"/>
      <c r="S118" s="67"/>
    </row>
    <row r="119" spans="1:28" ht="15.6">
      <c r="A119" s="48" t="s">
        <v>137</v>
      </c>
      <c r="B119" s="11" t="s">
        <v>412</v>
      </c>
      <c r="C119" s="29"/>
      <c r="D119" s="29"/>
      <c r="E119" s="30"/>
      <c r="F119" s="67"/>
      <c r="G119" s="29"/>
      <c r="H119" s="29"/>
      <c r="I119" s="30"/>
      <c r="J119" s="29"/>
      <c r="K119" s="29"/>
      <c r="L119" s="29"/>
      <c r="M119" s="30"/>
      <c r="N119" s="29"/>
      <c r="O119" s="29"/>
      <c r="P119" s="29"/>
      <c r="Q119" s="29"/>
      <c r="R119" s="29"/>
      <c r="S119" s="29"/>
      <c r="V119" s="74" t="s">
        <v>84</v>
      </c>
      <c r="W119" s="289">
        <v>32372.803</v>
      </c>
      <c r="X119" s="289">
        <v>32098.358760000017</v>
      </c>
      <c r="Y119" s="289">
        <v>35930.62281999999</v>
      </c>
      <c r="Z119" s="289">
        <f>+Z105+Z104</f>
        <v>34846.808999999987</v>
      </c>
      <c r="AA119" s="289">
        <f>+AA105+AA104</f>
        <v>31644.180290000004</v>
      </c>
      <c r="AB119" s="289">
        <v>36973.277130000009</v>
      </c>
    </row>
    <row r="120" spans="1:28" ht="15.6">
      <c r="B120" s="252" t="s">
        <v>39</v>
      </c>
      <c r="C120" s="132"/>
      <c r="D120" s="132"/>
      <c r="E120" s="132"/>
      <c r="F120" s="132"/>
      <c r="G120" s="132"/>
      <c r="H120" s="132"/>
      <c r="I120" s="132"/>
      <c r="J120" s="132"/>
      <c r="K120" s="132"/>
      <c r="L120" s="132"/>
      <c r="M120" s="132"/>
      <c r="N120" s="132"/>
      <c r="O120" s="132"/>
      <c r="P120" s="132"/>
      <c r="Q120" s="132"/>
      <c r="R120" s="132"/>
      <c r="S120" s="132"/>
    </row>
    <row r="121" spans="1:28" ht="15.6" thickBot="1">
      <c r="B121" s="250"/>
      <c r="C121" s="251">
        <v>2016</v>
      </c>
      <c r="D121" s="251">
        <v>2017</v>
      </c>
      <c r="E121" s="251" t="s">
        <v>40</v>
      </c>
      <c r="F121" s="251" t="s">
        <v>41</v>
      </c>
      <c r="G121" s="251" t="s">
        <v>42</v>
      </c>
      <c r="H121" s="251" t="s">
        <v>43</v>
      </c>
      <c r="I121" s="251" t="s">
        <v>44</v>
      </c>
      <c r="J121" s="251" t="s">
        <v>45</v>
      </c>
      <c r="K121" s="251" t="s">
        <v>46</v>
      </c>
      <c r="L121" s="251" t="s">
        <v>47</v>
      </c>
      <c r="M121" s="251" t="s">
        <v>48</v>
      </c>
      <c r="N121" s="251" t="s">
        <v>49</v>
      </c>
      <c r="O121" s="251" t="s">
        <v>50</v>
      </c>
      <c r="P121" s="251" t="s">
        <v>51</v>
      </c>
      <c r="Q121" s="251" t="s">
        <v>52</v>
      </c>
      <c r="R121" s="251" t="s">
        <v>53</v>
      </c>
      <c r="S121" s="251" t="s">
        <v>54</v>
      </c>
      <c r="T121" s="251" t="s">
        <v>55</v>
      </c>
      <c r="V121" s="250"/>
      <c r="W121" s="251" t="s">
        <v>87</v>
      </c>
      <c r="X121" s="251" t="s">
        <v>56</v>
      </c>
      <c r="Y121" s="251" t="s">
        <v>57</v>
      </c>
      <c r="Z121" s="251" t="s">
        <v>1154</v>
      </c>
      <c r="AA121" s="251" t="str">
        <f>+AA7</f>
        <v>1T23</v>
      </c>
      <c r="AB121" s="251" t="s">
        <v>1207</v>
      </c>
    </row>
    <row r="122" spans="1:28" ht="15.6" thickBot="1">
      <c r="B122" s="113" t="s">
        <v>88</v>
      </c>
      <c r="C122" s="114"/>
      <c r="D122" s="114"/>
      <c r="E122" s="114"/>
      <c r="F122" s="114"/>
      <c r="G122" s="114"/>
      <c r="H122" s="114"/>
      <c r="I122" s="114"/>
      <c r="J122" s="114"/>
      <c r="K122" s="114"/>
      <c r="L122" s="114"/>
      <c r="M122" s="114"/>
      <c r="N122" s="114"/>
      <c r="O122" s="114"/>
      <c r="P122" s="114"/>
      <c r="Q122" s="114"/>
      <c r="R122" s="114"/>
      <c r="S122" s="114"/>
      <c r="T122" s="114"/>
      <c r="V122" s="113" t="s">
        <v>88</v>
      </c>
      <c r="W122" s="114"/>
      <c r="X122" s="114"/>
      <c r="Y122" s="114"/>
      <c r="Z122" s="114"/>
      <c r="AA122" s="114"/>
      <c r="AB122" s="114"/>
    </row>
    <row r="123" spans="1:28" ht="15.6" thickBot="1">
      <c r="B123" s="115" t="s">
        <v>89</v>
      </c>
      <c r="C123" s="116"/>
      <c r="D123" s="116"/>
      <c r="E123" s="116"/>
      <c r="F123" s="116"/>
      <c r="G123" s="116"/>
      <c r="H123" s="116"/>
      <c r="I123" s="116"/>
      <c r="J123" s="116"/>
      <c r="K123" s="116"/>
      <c r="L123" s="116"/>
      <c r="M123" s="116"/>
      <c r="N123" s="139"/>
      <c r="O123" s="139"/>
      <c r="P123" s="139"/>
      <c r="Q123" s="139"/>
      <c r="R123" s="139"/>
      <c r="S123" s="139"/>
      <c r="T123" s="139"/>
      <c r="V123" s="115" t="s">
        <v>89</v>
      </c>
      <c r="W123" s="139"/>
      <c r="X123" s="139"/>
      <c r="Y123" s="139"/>
      <c r="Z123" s="139"/>
      <c r="AA123" s="139"/>
      <c r="AB123" s="139"/>
    </row>
    <row r="124" spans="1:28" ht="15.6">
      <c r="B124" s="72" t="s">
        <v>90</v>
      </c>
      <c r="C124" s="107">
        <v>12954</v>
      </c>
      <c r="D124" s="107">
        <v>16516</v>
      </c>
      <c r="E124" s="107">
        <v>50094</v>
      </c>
      <c r="F124" s="107">
        <v>15029</v>
      </c>
      <c r="G124" s="107">
        <v>20655</v>
      </c>
      <c r="H124" s="107">
        <v>15110</v>
      </c>
      <c r="I124" s="107">
        <v>26636</v>
      </c>
      <c r="J124" s="107">
        <v>5281</v>
      </c>
      <c r="K124" s="107">
        <v>2631</v>
      </c>
      <c r="L124" s="107">
        <v>18809</v>
      </c>
      <c r="M124" s="107">
        <v>83848</v>
      </c>
      <c r="N124" s="107">
        <v>34398</v>
      </c>
      <c r="O124" s="107">
        <v>5725</v>
      </c>
      <c r="P124" s="155">
        <v>12617</v>
      </c>
      <c r="Q124" s="155">
        <v>8426</v>
      </c>
      <c r="R124" s="155">
        <v>62289</v>
      </c>
      <c r="S124" s="155">
        <v>30918.867879999998</v>
      </c>
      <c r="T124" s="155">
        <v>28106</v>
      </c>
      <c r="V124" s="72" t="s">
        <v>90</v>
      </c>
      <c r="W124" s="155">
        <v>38836.307540000002</v>
      </c>
      <c r="X124" s="155">
        <v>13263.868710000001</v>
      </c>
      <c r="Y124" s="155">
        <v>37070.51816</v>
      </c>
      <c r="Z124" s="155">
        <v>41356.438600000001</v>
      </c>
      <c r="AA124" s="155">
        <v>53864.124000000003</v>
      </c>
      <c r="AB124" s="155">
        <v>38589.217939999995</v>
      </c>
    </row>
    <row r="125" spans="1:28" ht="15.6">
      <c r="B125" s="72" t="s">
        <v>389</v>
      </c>
      <c r="C125" s="107">
        <v>17931</v>
      </c>
      <c r="D125" s="107">
        <v>17804</v>
      </c>
      <c r="E125" s="107">
        <v>19522</v>
      </c>
      <c r="F125" s="107">
        <v>20736</v>
      </c>
      <c r="G125" s="107">
        <v>20980</v>
      </c>
      <c r="H125" s="107">
        <v>27724</v>
      </c>
      <c r="I125" s="107">
        <v>26728</v>
      </c>
      <c r="J125" s="107">
        <v>26095</v>
      </c>
      <c r="K125" s="107">
        <v>24761</v>
      </c>
      <c r="L125" s="107">
        <v>23202</v>
      </c>
      <c r="M125" s="107">
        <v>19902</v>
      </c>
      <c r="N125" s="107">
        <v>19622</v>
      </c>
      <c r="O125" s="107">
        <v>20037</v>
      </c>
      <c r="P125" s="155">
        <v>19787</v>
      </c>
      <c r="Q125" s="155">
        <v>20524</v>
      </c>
      <c r="R125" s="155">
        <v>22466</v>
      </c>
      <c r="S125" s="155">
        <v>24814.016370000001</v>
      </c>
      <c r="T125" s="155">
        <v>28729</v>
      </c>
      <c r="V125" s="72" t="s">
        <v>389</v>
      </c>
      <c r="W125" s="155">
        <v>29429.054090000001</v>
      </c>
      <c r="X125" s="155">
        <v>30997.886039999998</v>
      </c>
      <c r="Y125" s="155">
        <v>27684.353769999998</v>
      </c>
      <c r="Z125" s="155">
        <v>25386.286600000003</v>
      </c>
      <c r="AA125" s="155">
        <v>19860.8832</v>
      </c>
      <c r="AB125" s="155">
        <v>18350.670959999999</v>
      </c>
    </row>
    <row r="126" spans="1:28" ht="15.6">
      <c r="B126" s="72" t="s">
        <v>413</v>
      </c>
      <c r="C126" s="107">
        <v>769</v>
      </c>
      <c r="D126" s="107">
        <v>1477</v>
      </c>
      <c r="E126" s="107">
        <v>1270</v>
      </c>
      <c r="F126" s="107">
        <v>931</v>
      </c>
      <c r="G126" s="107">
        <v>468</v>
      </c>
      <c r="H126" s="107">
        <v>970</v>
      </c>
      <c r="I126" s="107">
        <v>709</v>
      </c>
      <c r="J126" s="107">
        <v>1948</v>
      </c>
      <c r="K126" s="107">
        <v>1181</v>
      </c>
      <c r="L126" s="107">
        <v>1259</v>
      </c>
      <c r="M126" s="107">
        <v>1568</v>
      </c>
      <c r="N126" s="107">
        <v>1159</v>
      </c>
      <c r="O126" s="107">
        <v>1634</v>
      </c>
      <c r="P126" s="155">
        <v>854</v>
      </c>
      <c r="Q126" s="155">
        <v>1610</v>
      </c>
      <c r="R126" s="155">
        <v>321</v>
      </c>
      <c r="S126" s="155">
        <v>27114.561559999998</v>
      </c>
      <c r="T126" s="155">
        <v>1587</v>
      </c>
      <c r="V126" s="72" t="s">
        <v>413</v>
      </c>
      <c r="W126" s="155">
        <v>3314.3289500000001</v>
      </c>
      <c r="X126" s="155">
        <v>3069.3365800000001</v>
      </c>
      <c r="Y126" s="155">
        <v>8901.7914199999996</v>
      </c>
      <c r="Z126" s="155">
        <v>6649.7176300000001</v>
      </c>
      <c r="AA126" s="155">
        <v>8836.600480000001</v>
      </c>
      <c r="AB126" s="155">
        <v>11990.9295</v>
      </c>
    </row>
    <row r="127" spans="1:28" ht="15.6">
      <c r="B127" s="72" t="s">
        <v>390</v>
      </c>
      <c r="C127" s="107">
        <v>4662</v>
      </c>
      <c r="D127" s="107">
        <v>2715</v>
      </c>
      <c r="E127" s="107">
        <v>3596</v>
      </c>
      <c r="F127" s="107">
        <v>4652</v>
      </c>
      <c r="G127" s="107">
        <v>4096</v>
      </c>
      <c r="H127" s="107">
        <v>2324</v>
      </c>
      <c r="I127" s="107">
        <v>1930</v>
      </c>
      <c r="J127" s="107">
        <v>1643</v>
      </c>
      <c r="K127" s="107">
        <v>3589</v>
      </c>
      <c r="L127" s="107">
        <v>5044</v>
      </c>
      <c r="M127" s="107">
        <v>4869</v>
      </c>
      <c r="N127" s="107">
        <v>4108</v>
      </c>
      <c r="O127" s="107">
        <v>2740</v>
      </c>
      <c r="P127" s="155">
        <v>3745</v>
      </c>
      <c r="Q127" s="155">
        <v>4692</v>
      </c>
      <c r="R127" s="155">
        <v>4297</v>
      </c>
      <c r="S127" s="155">
        <v>3716.4677700000002</v>
      </c>
      <c r="T127" s="155">
        <v>2744</v>
      </c>
      <c r="V127" s="72" t="s">
        <v>390</v>
      </c>
      <c r="W127" s="155">
        <v>3999.0017000000003</v>
      </c>
      <c r="X127" s="155">
        <v>4194.2550199999996</v>
      </c>
      <c r="Y127" s="155">
        <v>2639.2952200000004</v>
      </c>
      <c r="Z127" s="155">
        <v>2997.5248700000002</v>
      </c>
      <c r="AA127" s="155">
        <v>2683.5072999999998</v>
      </c>
      <c r="AB127" s="155">
        <v>3113.0080599999997</v>
      </c>
    </row>
    <row r="128" spans="1:28" ht="15.6">
      <c r="B128" s="72" t="s">
        <v>414</v>
      </c>
      <c r="C128" s="107">
        <v>10198</v>
      </c>
      <c r="D128" s="107">
        <v>9221</v>
      </c>
      <c r="E128" s="107">
        <v>9241</v>
      </c>
      <c r="F128" s="107">
        <v>10129</v>
      </c>
      <c r="G128" s="107">
        <v>10316</v>
      </c>
      <c r="H128" s="107">
        <v>10836</v>
      </c>
      <c r="I128" s="107">
        <v>9527</v>
      </c>
      <c r="J128" s="107">
        <v>9316</v>
      </c>
      <c r="K128" s="107">
        <v>9487</v>
      </c>
      <c r="L128" s="107">
        <v>11562</v>
      </c>
      <c r="M128" s="107">
        <v>11626</v>
      </c>
      <c r="N128" s="107">
        <v>11004</v>
      </c>
      <c r="O128" s="107">
        <v>11001</v>
      </c>
      <c r="P128" s="155">
        <v>10698</v>
      </c>
      <c r="Q128" s="155">
        <v>10022</v>
      </c>
      <c r="R128" s="155">
        <v>9822</v>
      </c>
      <c r="S128" s="155">
        <v>9920.62284</v>
      </c>
      <c r="T128" s="155">
        <v>11510</v>
      </c>
      <c r="V128" s="72" t="s">
        <v>414</v>
      </c>
      <c r="W128" s="155">
        <v>10272.08905</v>
      </c>
      <c r="X128" s="155">
        <v>10143.133260000001</v>
      </c>
      <c r="Y128" s="155">
        <v>9744.7218000000012</v>
      </c>
      <c r="Z128" s="155">
        <v>12592.13445</v>
      </c>
      <c r="AA128" s="155">
        <v>12609.316409999999</v>
      </c>
      <c r="AB128" s="155">
        <v>12213.249320000001</v>
      </c>
    </row>
    <row r="129" spans="2:28" ht="15.6">
      <c r="B129" s="72" t="s">
        <v>1206</v>
      </c>
      <c r="C129" s="107">
        <v>0</v>
      </c>
      <c r="D129" s="107">
        <v>0</v>
      </c>
      <c r="E129" s="107">
        <v>0</v>
      </c>
      <c r="F129" s="107">
        <v>0</v>
      </c>
      <c r="G129" s="107">
        <v>0</v>
      </c>
      <c r="H129" s="107">
        <v>0</v>
      </c>
      <c r="I129" s="107">
        <v>0</v>
      </c>
      <c r="J129" s="107">
        <v>0</v>
      </c>
      <c r="K129" s="107">
        <v>0</v>
      </c>
      <c r="L129" s="107">
        <v>2900</v>
      </c>
      <c r="M129" s="107">
        <v>0</v>
      </c>
      <c r="N129" s="107">
        <v>0</v>
      </c>
      <c r="O129" s="107">
        <v>0</v>
      </c>
      <c r="P129" s="155">
        <v>8206</v>
      </c>
      <c r="Q129" s="155">
        <v>8516</v>
      </c>
      <c r="R129" s="155">
        <v>0</v>
      </c>
      <c r="S129" s="155">
        <v>0</v>
      </c>
      <c r="T129" s="155">
        <v>0</v>
      </c>
      <c r="V129" s="72" t="s">
        <v>166</v>
      </c>
      <c r="W129" s="155">
        <v>0</v>
      </c>
      <c r="X129" s="155">
        <v>0</v>
      </c>
      <c r="Y129" s="155">
        <v>0</v>
      </c>
      <c r="Z129" s="155">
        <v>0</v>
      </c>
      <c r="AA129" s="725">
        <v>2031.0391999999999</v>
      </c>
      <c r="AB129" s="725">
        <v>3779.6590000000001</v>
      </c>
    </row>
    <row r="130" spans="2:28" ht="16.2" thickBot="1">
      <c r="B130" s="72" t="s">
        <v>415</v>
      </c>
      <c r="C130" s="107">
        <v>93</v>
      </c>
      <c r="D130" s="107">
        <v>858</v>
      </c>
      <c r="E130" s="107">
        <v>583</v>
      </c>
      <c r="F130" s="107">
        <v>402</v>
      </c>
      <c r="G130" s="107">
        <v>2367</v>
      </c>
      <c r="H130" s="107">
        <v>1814</v>
      </c>
      <c r="I130" s="107">
        <v>1506</v>
      </c>
      <c r="J130" s="107">
        <v>1027</v>
      </c>
      <c r="K130" s="107">
        <v>541</v>
      </c>
      <c r="L130" s="107">
        <v>114</v>
      </c>
      <c r="M130" s="107">
        <v>2205</v>
      </c>
      <c r="N130" s="107">
        <v>1585</v>
      </c>
      <c r="O130" s="107">
        <v>1450</v>
      </c>
      <c r="P130" s="155">
        <v>913</v>
      </c>
      <c r="Q130" s="155">
        <v>963</v>
      </c>
      <c r="R130" s="155">
        <v>580</v>
      </c>
      <c r="S130" s="155">
        <v>2286.8167200000003</v>
      </c>
      <c r="T130" s="155">
        <v>1833</v>
      </c>
      <c r="V130" s="72" t="s">
        <v>415</v>
      </c>
      <c r="W130" s="155">
        <v>1799.61448</v>
      </c>
      <c r="X130" s="155">
        <v>969.98715000000004</v>
      </c>
      <c r="Y130" s="155">
        <v>533.45785999999998</v>
      </c>
      <c r="Z130" s="155">
        <v>137.36866000000001</v>
      </c>
      <c r="AA130" s="155">
        <v>2469.3309599999998</v>
      </c>
      <c r="AB130" s="155">
        <v>2018.3836100000001</v>
      </c>
    </row>
    <row r="131" spans="2:28" ht="15.6" thickBot="1">
      <c r="B131" s="118" t="s">
        <v>96</v>
      </c>
      <c r="C131" s="119">
        <v>46607</v>
      </c>
      <c r="D131" s="119">
        <v>48591</v>
      </c>
      <c r="E131" s="119">
        <v>84306</v>
      </c>
      <c r="F131" s="119">
        <v>51879</v>
      </c>
      <c r="G131" s="119">
        <v>58882</v>
      </c>
      <c r="H131" s="119">
        <v>58778</v>
      </c>
      <c r="I131" s="119">
        <v>67036</v>
      </c>
      <c r="J131" s="119">
        <v>45310</v>
      </c>
      <c r="K131" s="119">
        <v>42190</v>
      </c>
      <c r="L131" s="119">
        <v>62890</v>
      </c>
      <c r="M131" s="119">
        <v>124018</v>
      </c>
      <c r="N131" s="140">
        <v>71876</v>
      </c>
      <c r="O131" s="140">
        <v>42587</v>
      </c>
      <c r="P131" s="140">
        <f>SUM(P124:P130)</f>
        <v>56820</v>
      </c>
      <c r="Q131" s="140">
        <f>SUM(Q124:Q130)</f>
        <v>54753</v>
      </c>
      <c r="R131" s="140">
        <v>99775</v>
      </c>
      <c r="S131" s="140">
        <v>98771.353140000007</v>
      </c>
      <c r="T131" s="140">
        <f>SUM(T124:T130)</f>
        <v>74509</v>
      </c>
      <c r="V131" s="118" t="s">
        <v>96</v>
      </c>
      <c r="W131" s="140">
        <f>+SUM(W124:W130)</f>
        <v>87650.395809999987</v>
      </c>
      <c r="X131" s="140">
        <v>62638.466760000003</v>
      </c>
      <c r="Y131" s="140">
        <v>86574.138229999982</v>
      </c>
      <c r="Z131" s="140">
        <f>+SUM(Z124:Z130)</f>
        <v>89119.470809999984</v>
      </c>
      <c r="AA131" s="140">
        <f>+SUM(AA124:AA130)</f>
        <v>102354.80155000002</v>
      </c>
      <c r="AB131" s="140">
        <v>90055.118389999989</v>
      </c>
    </row>
    <row r="132" spans="2:28" ht="15.6" thickBot="1">
      <c r="B132" s="115" t="s">
        <v>97</v>
      </c>
      <c r="C132" s="116"/>
      <c r="D132" s="116"/>
      <c r="E132" s="116"/>
      <c r="F132" s="116"/>
      <c r="G132" s="116"/>
      <c r="H132" s="116"/>
      <c r="I132" s="116"/>
      <c r="J132" s="116"/>
      <c r="K132" s="116"/>
      <c r="L132" s="116"/>
      <c r="M132" s="116"/>
      <c r="N132" s="139"/>
      <c r="O132" s="139"/>
      <c r="P132" s="139"/>
      <c r="Q132" s="139"/>
      <c r="R132" s="139"/>
      <c r="S132" s="139"/>
      <c r="T132" s="139"/>
      <c r="V132" s="115" t="s">
        <v>97</v>
      </c>
      <c r="W132" s="139"/>
      <c r="X132" s="139"/>
      <c r="Y132" s="139"/>
      <c r="Z132" s="139"/>
      <c r="AA132" s="139"/>
      <c r="AB132" s="139"/>
    </row>
    <row r="133" spans="2:28" ht="15.6">
      <c r="B133" s="72" t="s">
        <v>416</v>
      </c>
      <c r="C133" s="107">
        <v>0</v>
      </c>
      <c r="D133" s="107">
        <v>486</v>
      </c>
      <c r="E133" s="107">
        <v>0</v>
      </c>
      <c r="F133" s="107">
        <v>0</v>
      </c>
      <c r="G133" s="107">
        <v>0</v>
      </c>
      <c r="H133" s="107">
        <v>0</v>
      </c>
      <c r="I133" s="107">
        <v>0</v>
      </c>
      <c r="J133" s="107">
        <v>0</v>
      </c>
      <c r="K133" s="107">
        <v>0</v>
      </c>
      <c r="L133" s="107">
        <v>0</v>
      </c>
      <c r="M133" s="107">
        <v>0</v>
      </c>
      <c r="N133" s="107">
        <v>0</v>
      </c>
      <c r="O133" s="107">
        <v>0</v>
      </c>
      <c r="P133" s="155">
        <v>0</v>
      </c>
      <c r="Q133" s="155">
        <v>0</v>
      </c>
      <c r="R133" s="155">
        <v>0</v>
      </c>
      <c r="S133" s="155">
        <v>0</v>
      </c>
      <c r="T133" s="155">
        <v>0</v>
      </c>
      <c r="V133" s="72" t="s">
        <v>416</v>
      </c>
      <c r="W133" s="155"/>
      <c r="X133" s="155">
        <v>0</v>
      </c>
      <c r="Y133" s="155">
        <v>0</v>
      </c>
      <c r="Z133" s="155"/>
      <c r="AA133" s="155"/>
      <c r="AB133" s="155"/>
    </row>
    <row r="134" spans="2:28" ht="15.6">
      <c r="B134" s="72" t="s">
        <v>417</v>
      </c>
      <c r="C134" s="107">
        <v>1051</v>
      </c>
      <c r="D134" s="107">
        <v>965</v>
      </c>
      <c r="E134" s="107">
        <v>951</v>
      </c>
      <c r="F134" s="107">
        <v>920</v>
      </c>
      <c r="G134" s="107">
        <v>897</v>
      </c>
      <c r="H134" s="107">
        <v>875</v>
      </c>
      <c r="I134" s="107">
        <v>853</v>
      </c>
      <c r="J134" s="107">
        <v>831</v>
      </c>
      <c r="K134" s="107">
        <v>807</v>
      </c>
      <c r="L134" s="107">
        <v>784</v>
      </c>
      <c r="M134" s="107">
        <v>769</v>
      </c>
      <c r="N134" s="107">
        <v>738</v>
      </c>
      <c r="O134" s="107">
        <v>645</v>
      </c>
      <c r="P134" s="155">
        <v>1047</v>
      </c>
      <c r="Q134" s="155">
        <v>1025</v>
      </c>
      <c r="R134" s="155">
        <v>1003</v>
      </c>
      <c r="S134" s="155">
        <v>980.50080000000003</v>
      </c>
      <c r="T134" s="155">
        <v>958</v>
      </c>
      <c r="V134" s="72" t="s">
        <v>417</v>
      </c>
      <c r="W134" s="155">
        <v>925.56916000000001</v>
      </c>
      <c r="X134" s="155">
        <v>900.14096999999992</v>
      </c>
      <c r="Y134" s="155">
        <v>874.31497000000002</v>
      </c>
      <c r="Z134" s="155">
        <v>848.08492000000001</v>
      </c>
      <c r="AA134" s="155">
        <v>806.29183</v>
      </c>
      <c r="AB134" s="155">
        <v>776.06041000000005</v>
      </c>
    </row>
    <row r="135" spans="2:28" ht="15.6">
      <c r="B135" s="72" t="s">
        <v>418</v>
      </c>
      <c r="C135" s="107">
        <v>5087</v>
      </c>
      <c r="D135" s="107">
        <v>4950</v>
      </c>
      <c r="E135" s="107">
        <v>4942</v>
      </c>
      <c r="F135" s="107">
        <v>4907</v>
      </c>
      <c r="G135" s="107">
        <v>4873</v>
      </c>
      <c r="H135" s="107">
        <v>4859</v>
      </c>
      <c r="I135" s="107">
        <v>4829</v>
      </c>
      <c r="J135" s="107">
        <v>4797</v>
      </c>
      <c r="K135" s="107">
        <v>4762</v>
      </c>
      <c r="L135" s="107">
        <v>4714</v>
      </c>
      <c r="M135" s="107">
        <v>4692</v>
      </c>
      <c r="N135" s="107">
        <v>4643</v>
      </c>
      <c r="O135" s="107">
        <v>4600</v>
      </c>
      <c r="P135" s="155">
        <v>4558</v>
      </c>
      <c r="Q135" s="155">
        <v>4516</v>
      </c>
      <c r="R135" s="155">
        <v>4475</v>
      </c>
      <c r="S135" s="155">
        <v>4428.8829699999997</v>
      </c>
      <c r="T135" s="155">
        <v>4384</v>
      </c>
      <c r="V135" s="72" t="s">
        <v>418</v>
      </c>
      <c r="W135" s="155">
        <v>4344.2047999999995</v>
      </c>
      <c r="X135" s="155">
        <v>4303.9515199999996</v>
      </c>
      <c r="Y135" s="155">
        <v>4260.5328099999997</v>
      </c>
      <c r="Z135" s="155">
        <v>4210.4121100000002</v>
      </c>
      <c r="AA135" s="155">
        <v>4171.1986500000003</v>
      </c>
      <c r="AB135" s="155">
        <v>4126.3311599999997</v>
      </c>
    </row>
    <row r="136" spans="2:28" ht="15.6">
      <c r="B136" s="72" t="s">
        <v>419</v>
      </c>
      <c r="C136" s="107">
        <v>13915</v>
      </c>
      <c r="D136" s="107">
        <v>11392</v>
      </c>
      <c r="E136" s="107">
        <v>10908</v>
      </c>
      <c r="F136" s="107">
        <v>10443</v>
      </c>
      <c r="G136" s="107">
        <v>10194</v>
      </c>
      <c r="H136" s="107">
        <v>10130</v>
      </c>
      <c r="I136" s="107">
        <v>9757</v>
      </c>
      <c r="J136" s="107">
        <v>9412</v>
      </c>
      <c r="K136" s="107">
        <v>8981</v>
      </c>
      <c r="L136" s="107">
        <v>8688</v>
      </c>
      <c r="M136" s="107">
        <v>8547</v>
      </c>
      <c r="N136" s="107">
        <v>8619</v>
      </c>
      <c r="O136" s="107">
        <v>7495</v>
      </c>
      <c r="P136" s="155">
        <v>9982</v>
      </c>
      <c r="Q136" s="155">
        <v>9604</v>
      </c>
      <c r="R136" s="155">
        <v>9308</v>
      </c>
      <c r="S136" s="155">
        <v>9047.8868900000052</v>
      </c>
      <c r="T136" s="155">
        <v>8908</v>
      </c>
      <c r="V136" s="72" t="s">
        <v>419</v>
      </c>
      <c r="W136" s="155">
        <v>8409.2963499999969</v>
      </c>
      <c r="X136" s="155">
        <v>8185.9367600000014</v>
      </c>
      <c r="Y136" s="155">
        <v>8002.9236799999999</v>
      </c>
      <c r="Z136" s="155">
        <v>8285.3360300000004</v>
      </c>
      <c r="AA136" s="155">
        <v>7925.4848000000011</v>
      </c>
      <c r="AB136" s="155">
        <v>7566.2318900000009</v>
      </c>
    </row>
    <row r="137" spans="2:28" ht="15.6">
      <c r="B137" s="72" t="s">
        <v>420</v>
      </c>
      <c r="C137" s="107">
        <v>0</v>
      </c>
      <c r="D137" s="107">
        <v>0</v>
      </c>
      <c r="E137" s="107">
        <v>0</v>
      </c>
      <c r="F137" s="107">
        <v>0</v>
      </c>
      <c r="G137" s="107">
        <v>0</v>
      </c>
      <c r="H137" s="107">
        <v>0</v>
      </c>
      <c r="I137" s="107">
        <v>0</v>
      </c>
      <c r="J137" s="107">
        <v>0</v>
      </c>
      <c r="K137" s="107">
        <v>0</v>
      </c>
      <c r="L137" s="107">
        <v>8178</v>
      </c>
      <c r="M137" s="107">
        <v>8021</v>
      </c>
      <c r="N137" s="107">
        <v>7863</v>
      </c>
      <c r="O137" s="107">
        <v>8673</v>
      </c>
      <c r="P137" s="155">
        <v>7851</v>
      </c>
      <c r="Q137" s="155">
        <v>7658</v>
      </c>
      <c r="R137" s="155">
        <v>7464</v>
      </c>
      <c r="S137" s="155">
        <v>7270.5197200000002</v>
      </c>
      <c r="T137" s="155">
        <v>3624</v>
      </c>
      <c r="V137" s="72" t="s">
        <v>420</v>
      </c>
      <c r="W137" s="155">
        <v>3493.7066800000007</v>
      </c>
      <c r="X137" s="155">
        <v>3362.9309600000006</v>
      </c>
      <c r="Y137" s="155">
        <v>3232.15524</v>
      </c>
      <c r="Z137" s="155">
        <v>3101.37952</v>
      </c>
      <c r="AA137" s="155">
        <v>2994.7912200000001</v>
      </c>
      <c r="AB137" s="155">
        <v>3801.8597599999994</v>
      </c>
    </row>
    <row r="138" spans="2:28" ht="15.6">
      <c r="B138" s="72" t="s">
        <v>421</v>
      </c>
      <c r="C138" s="107">
        <v>460058</v>
      </c>
      <c r="D138" s="107">
        <v>449579</v>
      </c>
      <c r="E138" s="107">
        <v>442321</v>
      </c>
      <c r="F138" s="107">
        <v>435023</v>
      </c>
      <c r="G138" s="107">
        <v>428216</v>
      </c>
      <c r="H138" s="107">
        <v>431266</v>
      </c>
      <c r="I138" s="107">
        <v>427302</v>
      </c>
      <c r="J138" s="107">
        <v>421072</v>
      </c>
      <c r="K138" s="107">
        <v>413561</v>
      </c>
      <c r="L138" s="107">
        <v>427337</v>
      </c>
      <c r="M138" s="107">
        <v>424263</v>
      </c>
      <c r="N138" s="107">
        <v>421959</v>
      </c>
      <c r="O138" s="107">
        <v>426470</v>
      </c>
      <c r="P138" s="155">
        <v>421755</v>
      </c>
      <c r="Q138" s="155">
        <v>416129</v>
      </c>
      <c r="R138" s="155">
        <v>410580</v>
      </c>
      <c r="S138" s="155">
        <v>403773.54605</v>
      </c>
      <c r="T138" s="155">
        <v>397232</v>
      </c>
      <c r="V138" s="72" t="s">
        <v>421</v>
      </c>
      <c r="W138" s="155">
        <v>390540.71172000002</v>
      </c>
      <c r="X138" s="155">
        <v>383619.62688</v>
      </c>
      <c r="Y138" s="155">
        <v>376739.80491000001</v>
      </c>
      <c r="Z138" s="155">
        <v>373377.64199999999</v>
      </c>
      <c r="AA138" s="155">
        <v>366432.50098000001</v>
      </c>
      <c r="AB138" s="155">
        <v>361494.91795999999</v>
      </c>
    </row>
    <row r="139" spans="2:28" ht="15.6" thickBot="1">
      <c r="B139" s="115" t="s">
        <v>110</v>
      </c>
      <c r="C139" s="120">
        <v>480111</v>
      </c>
      <c r="D139" s="120">
        <v>467372</v>
      </c>
      <c r="E139" s="120">
        <v>459122</v>
      </c>
      <c r="F139" s="120">
        <v>451293</v>
      </c>
      <c r="G139" s="120">
        <v>444180</v>
      </c>
      <c r="H139" s="120">
        <v>447130</v>
      </c>
      <c r="I139" s="120">
        <v>442741</v>
      </c>
      <c r="J139" s="120">
        <v>436112</v>
      </c>
      <c r="K139" s="120">
        <v>428111</v>
      </c>
      <c r="L139" s="120">
        <v>449701</v>
      </c>
      <c r="M139" s="120">
        <v>446292</v>
      </c>
      <c r="N139" s="141">
        <v>443822</v>
      </c>
      <c r="O139" s="141">
        <v>447883</v>
      </c>
      <c r="P139" s="141">
        <f>SUM(P133:P138)</f>
        <v>445193</v>
      </c>
      <c r="Q139" s="141">
        <f t="shared" ref="Q139" si="41">SUM(Q133:Q138)</f>
        <v>438932</v>
      </c>
      <c r="R139" s="141">
        <v>432830</v>
      </c>
      <c r="S139" s="141">
        <v>425501.33643000002</v>
      </c>
      <c r="T139" s="141">
        <f t="shared" ref="T139" si="42">SUM(T133:T138)</f>
        <v>415106</v>
      </c>
      <c r="V139" s="115" t="s">
        <v>110</v>
      </c>
      <c r="W139" s="141">
        <f>+SUM(W134:W138)</f>
        <v>407713.48871000001</v>
      </c>
      <c r="X139" s="141">
        <v>400372.58708999999</v>
      </c>
      <c r="Y139" s="141">
        <v>393109.73161000002</v>
      </c>
      <c r="Z139" s="141">
        <f>+SUM(Z133:Z138)</f>
        <v>389822.85457999998</v>
      </c>
      <c r="AA139" s="141">
        <f>+SUM(AA133:AA138)</f>
        <v>382330.26748000004</v>
      </c>
      <c r="AB139" s="141">
        <v>377765.40117999999</v>
      </c>
    </row>
    <row r="140" spans="2:28" ht="15.6" thickBot="1">
      <c r="B140" s="121" t="s">
        <v>111</v>
      </c>
      <c r="C140" s="122">
        <v>526718</v>
      </c>
      <c r="D140" s="122">
        <v>515963</v>
      </c>
      <c r="E140" s="122">
        <v>543428</v>
      </c>
      <c r="F140" s="122">
        <v>503172</v>
      </c>
      <c r="G140" s="122">
        <v>503062</v>
      </c>
      <c r="H140" s="122">
        <v>505908</v>
      </c>
      <c r="I140" s="122">
        <v>509777</v>
      </c>
      <c r="J140" s="122">
        <v>481422</v>
      </c>
      <c r="K140" s="122">
        <v>470301</v>
      </c>
      <c r="L140" s="122">
        <v>512591</v>
      </c>
      <c r="M140" s="122">
        <v>570310</v>
      </c>
      <c r="N140" s="142">
        <v>515698</v>
      </c>
      <c r="O140" s="142">
        <v>490470</v>
      </c>
      <c r="P140" s="142">
        <f>P131+P139</f>
        <v>502013</v>
      </c>
      <c r="Q140" s="142">
        <f t="shared" ref="Q140" si="43">Q131+Q139</f>
        <v>493685</v>
      </c>
      <c r="R140" s="142">
        <v>532605</v>
      </c>
      <c r="S140" s="142">
        <v>524272.68957000005</v>
      </c>
      <c r="T140" s="142">
        <f t="shared" ref="T140" si="44">T131+T139</f>
        <v>489615</v>
      </c>
      <c r="V140" s="121" t="s">
        <v>111</v>
      </c>
      <c r="W140" s="142">
        <f>+W131+W139</f>
        <v>495363.88451999996</v>
      </c>
      <c r="X140" s="142">
        <v>463011.05384999997</v>
      </c>
      <c r="Y140" s="142">
        <v>479683.86984</v>
      </c>
      <c r="Z140" s="142">
        <f>+Z131+Z139</f>
        <v>478942.32538999995</v>
      </c>
      <c r="AA140" s="142">
        <f>+AA131+AA139</f>
        <v>484685.06903000007</v>
      </c>
      <c r="AB140" s="142">
        <v>467820.51957</v>
      </c>
    </row>
    <row r="141" spans="2:28" ht="15.6" thickBot="1">
      <c r="B141" s="123"/>
      <c r="C141" s="124"/>
      <c r="D141" s="124"/>
      <c r="E141" s="124"/>
      <c r="F141" s="124"/>
      <c r="G141" s="124"/>
      <c r="H141" s="124"/>
      <c r="I141" s="124"/>
      <c r="J141" s="124"/>
      <c r="K141" s="124"/>
      <c r="L141" s="124"/>
      <c r="M141" s="124"/>
      <c r="N141" s="143"/>
      <c r="O141" s="143"/>
      <c r="P141" s="143"/>
      <c r="Q141" s="143"/>
      <c r="R141" s="143"/>
      <c r="S141" s="143">
        <v>0</v>
      </c>
      <c r="V141" s="123"/>
    </row>
    <row r="142" spans="2:28" ht="15.6" thickBot="1">
      <c r="B142" s="113" t="s">
        <v>112</v>
      </c>
      <c r="C142" s="125"/>
      <c r="D142" s="125"/>
      <c r="E142" s="125"/>
      <c r="F142" s="125"/>
      <c r="G142" s="125"/>
      <c r="H142" s="125"/>
      <c r="I142" s="125"/>
      <c r="J142" s="125"/>
      <c r="K142" s="125"/>
      <c r="L142" s="125"/>
      <c r="M142" s="125"/>
      <c r="N142" s="144"/>
      <c r="O142" s="144"/>
      <c r="P142" s="144"/>
      <c r="Q142" s="144"/>
      <c r="R142" s="144"/>
      <c r="S142" s="144"/>
      <c r="T142" s="144"/>
      <c r="V142" s="113" t="s">
        <v>112</v>
      </c>
      <c r="W142" s="144"/>
      <c r="X142" s="144"/>
      <c r="Y142" s="144"/>
      <c r="Z142" s="144"/>
      <c r="AA142" s="144"/>
      <c r="AB142" s="144"/>
    </row>
    <row r="143" spans="2:28" ht="15.6" thickBot="1">
      <c r="B143" s="115" t="s">
        <v>113</v>
      </c>
      <c r="C143" s="126"/>
      <c r="D143" s="126"/>
      <c r="E143" s="126"/>
      <c r="F143" s="126"/>
      <c r="G143" s="126"/>
      <c r="H143" s="126"/>
      <c r="I143" s="126"/>
      <c r="J143" s="126"/>
      <c r="K143" s="126"/>
      <c r="L143" s="126"/>
      <c r="M143" s="126"/>
      <c r="N143" s="145"/>
      <c r="O143" s="145"/>
      <c r="P143" s="145"/>
      <c r="Q143" s="145"/>
      <c r="R143" s="145"/>
      <c r="S143" s="145"/>
      <c r="T143" s="145"/>
      <c r="V143" s="115" t="s">
        <v>113</v>
      </c>
      <c r="W143" s="145"/>
      <c r="X143" s="145"/>
      <c r="Y143" s="145"/>
      <c r="Z143" s="145"/>
      <c r="AA143" s="145"/>
      <c r="AB143" s="145"/>
    </row>
    <row r="144" spans="2:28" ht="15.6">
      <c r="B144" s="72" t="s">
        <v>397</v>
      </c>
      <c r="C144" s="107">
        <v>11450</v>
      </c>
      <c r="D144" s="107">
        <v>8714</v>
      </c>
      <c r="E144" s="107">
        <v>5921</v>
      </c>
      <c r="F144" s="107">
        <v>5349</v>
      </c>
      <c r="G144" s="107">
        <v>4755</v>
      </c>
      <c r="H144" s="107">
        <v>11309</v>
      </c>
      <c r="I144" s="107">
        <v>6822</v>
      </c>
      <c r="J144" s="107">
        <v>5120</v>
      </c>
      <c r="K144" s="107">
        <v>4322</v>
      </c>
      <c r="L144" s="107">
        <v>10451</v>
      </c>
      <c r="M144" s="107">
        <v>5498</v>
      </c>
      <c r="N144" s="107">
        <v>4317</v>
      </c>
      <c r="O144" s="107">
        <v>8840</v>
      </c>
      <c r="P144" s="155">
        <v>11085</v>
      </c>
      <c r="Q144" s="155">
        <v>5081</v>
      </c>
      <c r="R144" s="155">
        <v>5614</v>
      </c>
      <c r="S144" s="155">
        <v>7357.08979</v>
      </c>
      <c r="T144" s="155">
        <v>16320</v>
      </c>
      <c r="V144" s="72" t="s">
        <v>397</v>
      </c>
      <c r="W144" s="155">
        <v>9476.5604199999998</v>
      </c>
      <c r="X144" s="155">
        <v>7943.1071500000007</v>
      </c>
      <c r="Y144" s="155">
        <v>6644.69877</v>
      </c>
      <c r="Z144" s="155">
        <v>10473.758740000001</v>
      </c>
      <c r="AA144" s="155">
        <v>7837.1256199999998</v>
      </c>
      <c r="AB144" s="155">
        <v>6774.7111100000002</v>
      </c>
    </row>
    <row r="145" spans="2:28" ht="15.6">
      <c r="B145" s="72" t="s">
        <v>422</v>
      </c>
      <c r="C145" s="107">
        <v>1777</v>
      </c>
      <c r="D145" s="107">
        <v>1424</v>
      </c>
      <c r="E145" s="107">
        <v>41547</v>
      </c>
      <c r="F145" s="107">
        <v>773</v>
      </c>
      <c r="G145" s="107">
        <v>1262</v>
      </c>
      <c r="H145" s="107">
        <v>1778</v>
      </c>
      <c r="I145" s="107">
        <v>61817</v>
      </c>
      <c r="J145" s="107">
        <v>1019</v>
      </c>
      <c r="K145" s="107">
        <v>1583</v>
      </c>
      <c r="L145" s="107">
        <v>2065</v>
      </c>
      <c r="M145" s="107">
        <v>1028</v>
      </c>
      <c r="N145" s="107">
        <v>1295</v>
      </c>
      <c r="O145" s="107">
        <v>1827</v>
      </c>
      <c r="P145" s="155">
        <v>2205</v>
      </c>
      <c r="Q145" s="155">
        <v>49069</v>
      </c>
      <c r="R145" s="155">
        <v>1050</v>
      </c>
      <c r="S145" s="155">
        <v>1699.0661599999999</v>
      </c>
      <c r="T145" s="155">
        <v>2142</v>
      </c>
      <c r="V145" s="72" t="s">
        <v>422</v>
      </c>
      <c r="W145" s="155">
        <v>29531.449420000001</v>
      </c>
      <c r="X145" s="155">
        <v>1178.8877299999999</v>
      </c>
      <c r="Y145" s="155">
        <v>1826.62789</v>
      </c>
      <c r="Z145" s="155">
        <v>1609.2114300000001</v>
      </c>
      <c r="AA145" s="155">
        <v>3963.0536000000002</v>
      </c>
      <c r="AB145" s="155">
        <v>10384.054199999999</v>
      </c>
    </row>
    <row r="146" spans="2:28" ht="15.6">
      <c r="B146" s="72" t="s">
        <v>423</v>
      </c>
      <c r="C146" s="107">
        <v>1523</v>
      </c>
      <c r="D146" s="107">
        <v>3723</v>
      </c>
      <c r="E146" s="107">
        <v>2826</v>
      </c>
      <c r="F146" s="107">
        <v>3633</v>
      </c>
      <c r="G146" s="107">
        <v>5398</v>
      </c>
      <c r="H146" s="107">
        <v>7378</v>
      </c>
      <c r="I146" s="107">
        <v>5283</v>
      </c>
      <c r="J146" s="107">
        <v>2407</v>
      </c>
      <c r="K146" s="107">
        <v>2818</v>
      </c>
      <c r="L146" s="107">
        <v>3276</v>
      </c>
      <c r="M146" s="107">
        <v>1293</v>
      </c>
      <c r="N146" s="107">
        <v>2946</v>
      </c>
      <c r="O146" s="107">
        <v>1655</v>
      </c>
      <c r="P146" s="155">
        <v>3914</v>
      </c>
      <c r="Q146" s="155">
        <v>0</v>
      </c>
      <c r="R146" s="155">
        <v>5435</v>
      </c>
      <c r="S146" s="155">
        <v>7756.0475500000002</v>
      </c>
      <c r="T146" s="155">
        <v>5010</v>
      </c>
      <c r="V146" s="72" t="s">
        <v>423</v>
      </c>
      <c r="W146" s="155">
        <v>0</v>
      </c>
      <c r="X146" s="155">
        <v>8032.6965899999996</v>
      </c>
      <c r="Y146" s="155">
        <v>0</v>
      </c>
      <c r="Z146" s="155">
        <v>1092.2044799999999</v>
      </c>
      <c r="AA146" s="155">
        <v>3196.7861300000004</v>
      </c>
      <c r="AB146" s="155">
        <v>4512.3600399999996</v>
      </c>
    </row>
    <row r="147" spans="2:28" ht="15.6">
      <c r="B147" s="72" t="s">
        <v>398</v>
      </c>
      <c r="C147" s="107">
        <v>8344</v>
      </c>
      <c r="D147" s="107">
        <v>7385</v>
      </c>
      <c r="E147" s="107">
        <v>9019</v>
      </c>
      <c r="F147" s="107">
        <v>9011</v>
      </c>
      <c r="G147" s="107">
        <v>10392</v>
      </c>
      <c r="H147" s="107">
        <v>9223</v>
      </c>
      <c r="I147" s="107">
        <v>9244</v>
      </c>
      <c r="J147" s="107">
        <v>9188</v>
      </c>
      <c r="K147" s="107">
        <v>9847</v>
      </c>
      <c r="L147" s="107">
        <v>8502</v>
      </c>
      <c r="M147" s="107">
        <v>9283</v>
      </c>
      <c r="N147" s="107">
        <v>10035</v>
      </c>
      <c r="O147" s="107">
        <v>10974</v>
      </c>
      <c r="P147" s="155">
        <f>2875+6614</f>
        <v>9489</v>
      </c>
      <c r="Q147" s="155">
        <v>11526</v>
      </c>
      <c r="R147" s="155">
        <v>5447</v>
      </c>
      <c r="S147" s="155">
        <v>4936.0788000000011</v>
      </c>
      <c r="T147" s="155">
        <v>6509</v>
      </c>
      <c r="V147" s="72" t="s">
        <v>398</v>
      </c>
      <c r="W147" s="155">
        <v>10435.831190000001</v>
      </c>
      <c r="X147" s="155">
        <v>4285.7681700000003</v>
      </c>
      <c r="Y147" s="155">
        <v>12347.544379999999</v>
      </c>
      <c r="Z147" s="155">
        <v>6998.5979200000011</v>
      </c>
      <c r="AA147" s="155">
        <v>64344.86752</v>
      </c>
      <c r="AB147" s="155">
        <v>21417.123190000002</v>
      </c>
    </row>
    <row r="148" spans="2:28" ht="15.6">
      <c r="B148" s="72" t="s">
        <v>118</v>
      </c>
      <c r="C148" s="107">
        <v>10683</v>
      </c>
      <c r="D148" s="107">
        <v>13110</v>
      </c>
      <c r="E148" s="107">
        <v>13044</v>
      </c>
      <c r="F148" s="107">
        <v>13128</v>
      </c>
      <c r="G148" s="107">
        <v>12915</v>
      </c>
      <c r="H148" s="107">
        <v>15206</v>
      </c>
      <c r="I148" s="107">
        <v>15377</v>
      </c>
      <c r="J148" s="107">
        <v>15206</v>
      </c>
      <c r="K148" s="107">
        <v>14860</v>
      </c>
      <c r="L148" s="107">
        <v>16876</v>
      </c>
      <c r="M148" s="107">
        <v>16844</v>
      </c>
      <c r="N148" s="107">
        <v>16909</v>
      </c>
      <c r="O148" s="107">
        <v>16909</v>
      </c>
      <c r="P148" s="155">
        <v>16382</v>
      </c>
      <c r="Q148" s="155">
        <v>16377</v>
      </c>
      <c r="R148" s="155">
        <v>16375</v>
      </c>
      <c r="S148" s="155">
        <v>16356.30601</v>
      </c>
      <c r="T148" s="155">
        <v>13779</v>
      </c>
      <c r="V148" s="72" t="s">
        <v>118</v>
      </c>
      <c r="W148" s="155">
        <v>13816.145269999999</v>
      </c>
      <c r="X148" s="155">
        <v>13857.986720000001</v>
      </c>
      <c r="Y148" s="155">
        <v>13857.68172</v>
      </c>
      <c r="Z148" s="155">
        <v>12857.073849999999</v>
      </c>
      <c r="AA148" s="155">
        <v>12438.65684</v>
      </c>
      <c r="AB148" s="155">
        <v>12734.01771</v>
      </c>
    </row>
    <row r="149" spans="2:28" ht="15.6">
      <c r="B149" s="72" t="s">
        <v>424</v>
      </c>
      <c r="C149" s="107">
        <v>45993</v>
      </c>
      <c r="D149" s="107">
        <v>75887</v>
      </c>
      <c r="E149" s="107">
        <v>45887</v>
      </c>
      <c r="F149" s="107">
        <v>45282</v>
      </c>
      <c r="G149" s="107">
        <v>72793</v>
      </c>
      <c r="H149" s="107">
        <v>72089</v>
      </c>
      <c r="I149" s="107">
        <v>71601</v>
      </c>
      <c r="J149" s="107">
        <v>71358</v>
      </c>
      <c r="K149" s="107">
        <v>3358</v>
      </c>
      <c r="L149" s="107">
        <v>3730</v>
      </c>
      <c r="M149" s="107">
        <v>58359</v>
      </c>
      <c r="N149" s="107">
        <v>58360</v>
      </c>
      <c r="O149" s="107">
        <v>18360</v>
      </c>
      <c r="P149" s="155">
        <v>19049</v>
      </c>
      <c r="Q149" s="155">
        <v>19156</v>
      </c>
      <c r="R149" s="155">
        <v>79568</v>
      </c>
      <c r="S149" s="155">
        <v>79895.863799999992</v>
      </c>
      <c r="T149" s="155">
        <v>78945</v>
      </c>
      <c r="V149" s="72" t="s">
        <v>424</v>
      </c>
      <c r="W149" s="155">
        <v>79331.638300000006</v>
      </c>
      <c r="X149" s="155">
        <v>90742.288739999989</v>
      </c>
      <c r="Y149" s="155">
        <v>88719.712790000005</v>
      </c>
      <c r="Z149" s="155">
        <v>62344.127919999999</v>
      </c>
      <c r="AA149" s="155">
        <v>2522.2450899999999</v>
      </c>
      <c r="AB149" s="155">
        <v>20579.340889999996</v>
      </c>
    </row>
    <row r="150" spans="2:28" ht="15.6" thickBot="1">
      <c r="B150" s="115" t="s">
        <v>121</v>
      </c>
      <c r="C150" s="120">
        <v>79770</v>
      </c>
      <c r="D150" s="120">
        <v>110243</v>
      </c>
      <c r="E150" s="120">
        <v>118244</v>
      </c>
      <c r="F150" s="120">
        <v>77176</v>
      </c>
      <c r="G150" s="120">
        <v>107515</v>
      </c>
      <c r="H150" s="120">
        <v>116983</v>
      </c>
      <c r="I150" s="120">
        <v>170144</v>
      </c>
      <c r="J150" s="120">
        <v>104298</v>
      </c>
      <c r="K150" s="120">
        <v>36788</v>
      </c>
      <c r="L150" s="120">
        <v>44900</v>
      </c>
      <c r="M150" s="120">
        <v>92305</v>
      </c>
      <c r="N150" s="141">
        <v>93862</v>
      </c>
      <c r="O150" s="141">
        <v>58565</v>
      </c>
      <c r="P150" s="141">
        <f>SUM(P144:P149)</f>
        <v>62124</v>
      </c>
      <c r="Q150" s="141">
        <f>SUM(Q144:Q149)</f>
        <v>101209</v>
      </c>
      <c r="R150" s="141">
        <v>113489</v>
      </c>
      <c r="S150" s="141">
        <v>118000.45210999998</v>
      </c>
      <c r="T150" s="141">
        <f>SUM(T144:T149)</f>
        <v>122705</v>
      </c>
      <c r="V150" s="115" t="s">
        <v>121</v>
      </c>
      <c r="W150" s="141">
        <f>+SUM(W144:W149)</f>
        <v>142591.62460000001</v>
      </c>
      <c r="X150" s="141">
        <v>126040.73509999999</v>
      </c>
      <c r="Y150" s="141">
        <v>123396.26555000001</v>
      </c>
      <c r="Z150" s="141">
        <f>+SUM(Z144:Z149)</f>
        <v>95374.974340000001</v>
      </c>
      <c r="AA150" s="141">
        <f>+SUM(AA144:AA149)</f>
        <v>94302.734799999991</v>
      </c>
      <c r="AB150" s="141">
        <v>76401.607139999993</v>
      </c>
    </row>
    <row r="151" spans="2:28" ht="15.6" thickBot="1">
      <c r="B151" s="127" t="s">
        <v>122</v>
      </c>
      <c r="C151" s="128"/>
      <c r="D151" s="128"/>
      <c r="E151" s="128"/>
      <c r="F151" s="128"/>
      <c r="G151" s="128"/>
      <c r="H151" s="128"/>
      <c r="I151" s="128"/>
      <c r="J151" s="128"/>
      <c r="K151" s="128"/>
      <c r="L151" s="128"/>
      <c r="M151" s="128"/>
      <c r="N151" s="146"/>
      <c r="O151" s="146"/>
      <c r="P151" s="146"/>
      <c r="Q151" s="146"/>
      <c r="R151" s="146"/>
      <c r="S151" s="146"/>
      <c r="T151" s="146"/>
      <c r="V151" s="127" t="s">
        <v>122</v>
      </c>
      <c r="W151" s="146"/>
      <c r="X151" s="146"/>
      <c r="Y151" s="146"/>
      <c r="Z151" s="146"/>
      <c r="AA151" s="146"/>
      <c r="AB151" s="146"/>
    </row>
    <row r="152" spans="2:28" ht="15.6">
      <c r="B152" s="72" t="s">
        <v>425</v>
      </c>
      <c r="C152" s="107">
        <v>232</v>
      </c>
      <c r="D152" s="107">
        <v>105</v>
      </c>
      <c r="E152" s="107">
        <v>73</v>
      </c>
      <c r="F152" s="107">
        <v>32</v>
      </c>
      <c r="G152" s="107">
        <v>0</v>
      </c>
      <c r="H152" s="107">
        <v>0</v>
      </c>
      <c r="I152" s="107">
        <v>0</v>
      </c>
      <c r="J152" s="107">
        <v>0</v>
      </c>
      <c r="K152" s="107">
        <v>0</v>
      </c>
      <c r="L152" s="107">
        <v>0</v>
      </c>
      <c r="M152" s="107">
        <v>7983</v>
      </c>
      <c r="N152" s="107">
        <v>8139</v>
      </c>
      <c r="O152" s="107">
        <v>7998</v>
      </c>
      <c r="P152" s="155">
        <v>125</v>
      </c>
      <c r="Q152" s="155">
        <v>128</v>
      </c>
      <c r="R152" s="155">
        <v>277</v>
      </c>
      <c r="S152" s="155">
        <v>276.52782000000002</v>
      </c>
      <c r="T152" s="155">
        <v>1157</v>
      </c>
      <c r="V152" s="72" t="s">
        <v>425</v>
      </c>
      <c r="W152" s="155">
        <v>1157.4003300000002</v>
      </c>
      <c r="X152" s="155">
        <v>1157.4003300000002</v>
      </c>
      <c r="Y152" s="155">
        <v>850.32981999999993</v>
      </c>
      <c r="Z152" s="155">
        <v>876.86117000000002</v>
      </c>
      <c r="AA152" s="155">
        <v>876.86117000000002</v>
      </c>
      <c r="AB152" s="155">
        <v>876.86117000000002</v>
      </c>
    </row>
    <row r="153" spans="2:28" ht="15.6">
      <c r="B153" s="72" t="s">
        <v>426</v>
      </c>
      <c r="C153" s="107">
        <v>29340</v>
      </c>
      <c r="D153" s="107">
        <v>30048</v>
      </c>
      <c r="E153" s="107">
        <v>32825</v>
      </c>
      <c r="F153" s="107">
        <v>35334</v>
      </c>
      <c r="G153" s="107">
        <v>36492</v>
      </c>
      <c r="H153" s="107">
        <v>28464</v>
      </c>
      <c r="I153" s="107">
        <v>29539</v>
      </c>
      <c r="J153" s="107">
        <v>30928</v>
      </c>
      <c r="K153" s="107">
        <v>32270</v>
      </c>
      <c r="L153" s="107">
        <v>23534</v>
      </c>
      <c r="M153" s="107">
        <v>25061</v>
      </c>
      <c r="N153" s="107">
        <v>27403</v>
      </c>
      <c r="O153" s="107">
        <v>27069</v>
      </c>
      <c r="P153" s="155">
        <v>24170</v>
      </c>
      <c r="Q153" s="155">
        <v>25530</v>
      </c>
      <c r="R153" s="155">
        <v>26586</v>
      </c>
      <c r="S153" s="155">
        <v>27125.491590000001</v>
      </c>
      <c r="T153" s="155">
        <v>24328</v>
      </c>
      <c r="V153" s="72" t="s">
        <v>426</v>
      </c>
      <c r="W153" s="155">
        <v>23895.689890000001</v>
      </c>
      <c r="X153" s="155">
        <v>23215.410049999999</v>
      </c>
      <c r="Y153" s="155">
        <v>22731.14632</v>
      </c>
      <c r="Z153" s="155">
        <v>21729.755379999999</v>
      </c>
      <c r="AA153" s="155">
        <v>21779.082819999996</v>
      </c>
      <c r="AB153" s="155">
        <v>21239.61825</v>
      </c>
    </row>
    <row r="154" spans="2:28" ht="15.6">
      <c r="B154" s="72" t="s">
        <v>427</v>
      </c>
      <c r="C154" s="107">
        <v>178724</v>
      </c>
      <c r="D154" s="107">
        <v>144712</v>
      </c>
      <c r="E154" s="107">
        <v>192993</v>
      </c>
      <c r="F154" s="107">
        <v>181203</v>
      </c>
      <c r="G154" s="107">
        <v>139125</v>
      </c>
      <c r="H154" s="107">
        <v>138123</v>
      </c>
      <c r="I154" s="107">
        <v>137475</v>
      </c>
      <c r="J154" s="107">
        <v>162768</v>
      </c>
      <c r="K154" s="107">
        <v>205251</v>
      </c>
      <c r="L154" s="107">
        <v>213549</v>
      </c>
      <c r="M154" s="107">
        <v>202051</v>
      </c>
      <c r="N154" s="107">
        <v>200788</v>
      </c>
      <c r="O154" s="107">
        <v>198685</v>
      </c>
      <c r="P154" s="155">
        <v>206497</v>
      </c>
      <c r="Q154" s="155">
        <v>189875</v>
      </c>
      <c r="R154" s="155">
        <v>202122</v>
      </c>
      <c r="S154" s="155">
        <v>198091.37095000001</v>
      </c>
      <c r="T154" s="155">
        <v>171563</v>
      </c>
      <c r="V154" s="72" t="s">
        <v>427</v>
      </c>
      <c r="W154" s="155">
        <v>174755.88086999996</v>
      </c>
      <c r="X154" s="155">
        <v>151906.32547000001</v>
      </c>
      <c r="Y154" s="155">
        <v>151820.79230999999</v>
      </c>
      <c r="Z154" s="155">
        <v>191941.60782999999</v>
      </c>
      <c r="AA154" s="155">
        <v>257846.03086999999</v>
      </c>
      <c r="AB154" s="155">
        <v>240950.27898999999</v>
      </c>
    </row>
    <row r="155" spans="2:28" ht="15.6">
      <c r="B155" s="72" t="s">
        <v>428</v>
      </c>
      <c r="C155" s="107">
        <v>28448</v>
      </c>
      <c r="D155" s="107">
        <v>20542</v>
      </c>
      <c r="E155" s="107">
        <v>18860</v>
      </c>
      <c r="F155" s="107">
        <v>19362</v>
      </c>
      <c r="G155" s="107">
        <v>19762</v>
      </c>
      <c r="H155" s="107">
        <v>22055</v>
      </c>
      <c r="I155" s="107">
        <v>20530</v>
      </c>
      <c r="J155" s="107">
        <v>20908</v>
      </c>
      <c r="K155" s="107">
        <v>20870</v>
      </c>
      <c r="L155" s="107">
        <v>19267</v>
      </c>
      <c r="M155" s="107">
        <v>21844</v>
      </c>
      <c r="N155" s="107">
        <v>22330</v>
      </c>
      <c r="O155" s="107">
        <v>22624</v>
      </c>
      <c r="P155" s="155">
        <v>22357</v>
      </c>
      <c r="Q155" s="155">
        <v>24249</v>
      </c>
      <c r="R155" s="155">
        <v>25420</v>
      </c>
      <c r="S155" s="155">
        <v>28475.733640000002</v>
      </c>
      <c r="T155" s="155">
        <v>26709</v>
      </c>
      <c r="V155" s="72" t="s">
        <v>428</v>
      </c>
      <c r="W155" s="155">
        <v>22909.054559999997</v>
      </c>
      <c r="X155" s="155">
        <v>23720.49511</v>
      </c>
      <c r="Y155" s="155">
        <v>25284.441340000001</v>
      </c>
      <c r="Z155" s="155">
        <v>10019.33345</v>
      </c>
      <c r="AA155" s="155">
        <v>0</v>
      </c>
      <c r="AB155" s="155">
        <v>0</v>
      </c>
    </row>
    <row r="156" spans="2:28" ht="15.6">
      <c r="B156" s="72" t="s">
        <v>429</v>
      </c>
      <c r="C156" s="107">
        <v>10484</v>
      </c>
      <c r="D156" s="107">
        <v>15944</v>
      </c>
      <c r="E156" s="107">
        <v>15025</v>
      </c>
      <c r="F156" s="107">
        <v>13794</v>
      </c>
      <c r="G156" s="107">
        <v>12820</v>
      </c>
      <c r="H156" s="107">
        <v>13423</v>
      </c>
      <c r="I156" s="107">
        <v>12892</v>
      </c>
      <c r="J156" s="107">
        <v>11867</v>
      </c>
      <c r="K156" s="107">
        <v>10985</v>
      </c>
      <c r="L156" s="107">
        <v>18035</v>
      </c>
      <c r="M156" s="107">
        <v>16639</v>
      </c>
      <c r="N156" s="107">
        <v>15711</v>
      </c>
      <c r="O156" s="107">
        <v>15289</v>
      </c>
      <c r="P156" s="155">
        <v>16334</v>
      </c>
      <c r="Q156" s="155">
        <v>15134</v>
      </c>
      <c r="R156" s="155">
        <v>14421</v>
      </c>
      <c r="S156" s="155">
        <v>13276.494359999999</v>
      </c>
      <c r="T156" s="155">
        <v>14976</v>
      </c>
      <c r="V156" s="72" t="s">
        <v>429</v>
      </c>
      <c r="W156" s="155">
        <v>15020.0957</v>
      </c>
      <c r="X156" s="155">
        <v>14775.888269999999</v>
      </c>
      <c r="Y156" s="155">
        <v>14697.251829999999</v>
      </c>
      <c r="Z156" s="155">
        <v>19699.713489999998</v>
      </c>
      <c r="AA156" s="155">
        <v>19976.136979999999</v>
      </c>
      <c r="AB156" s="155">
        <v>20157.43318</v>
      </c>
    </row>
    <row r="157" spans="2:28" ht="15.6" thickBot="1">
      <c r="B157" s="115" t="s">
        <v>124</v>
      </c>
      <c r="C157" s="120">
        <v>247228</v>
      </c>
      <c r="D157" s="120">
        <v>211351</v>
      </c>
      <c r="E157" s="120">
        <v>259776</v>
      </c>
      <c r="F157" s="120">
        <v>249725</v>
      </c>
      <c r="G157" s="120">
        <v>208199</v>
      </c>
      <c r="H157" s="120">
        <v>202065</v>
      </c>
      <c r="I157" s="120">
        <v>200436</v>
      </c>
      <c r="J157" s="120">
        <v>226471</v>
      </c>
      <c r="K157" s="120">
        <v>269376</v>
      </c>
      <c r="L157" s="120">
        <v>274385</v>
      </c>
      <c r="M157" s="120">
        <v>273578</v>
      </c>
      <c r="N157" s="141">
        <v>274371</v>
      </c>
      <c r="O157" s="141">
        <v>271665</v>
      </c>
      <c r="P157" s="141">
        <f>SUM(P152:P156)</f>
        <v>269483</v>
      </c>
      <c r="Q157" s="141">
        <f>SUM(Q152:Q156)</f>
        <v>254916</v>
      </c>
      <c r="R157" s="141">
        <v>268826</v>
      </c>
      <c r="S157" s="141">
        <v>267245.61836000002</v>
      </c>
      <c r="T157" s="141">
        <f>SUM(T152:T156)</f>
        <v>238733</v>
      </c>
      <c r="V157" s="115" t="s">
        <v>124</v>
      </c>
      <c r="W157" s="141">
        <f>+SUM(W152:W156)</f>
        <v>237738.12134999997</v>
      </c>
      <c r="X157" s="141">
        <v>214775.51923000001</v>
      </c>
      <c r="Y157" s="141">
        <v>215383.96161999996</v>
      </c>
      <c r="Z157" s="141">
        <f>+SUM(Z152:Z156)</f>
        <v>244267.27132</v>
      </c>
      <c r="AA157" s="141">
        <f>+SUM(AA152:AA156)</f>
        <v>300478.11183999997</v>
      </c>
      <c r="AB157" s="141">
        <v>283224.19159</v>
      </c>
    </row>
    <row r="158" spans="2:28" ht="15.6" thickBot="1">
      <c r="B158" s="121" t="s">
        <v>125</v>
      </c>
      <c r="C158" s="122">
        <v>326998</v>
      </c>
      <c r="D158" s="122">
        <v>321594</v>
      </c>
      <c r="E158" s="122">
        <v>378020</v>
      </c>
      <c r="F158" s="122">
        <v>326901</v>
      </c>
      <c r="G158" s="122">
        <v>315714</v>
      </c>
      <c r="H158" s="122">
        <v>319048</v>
      </c>
      <c r="I158" s="122">
        <v>370580</v>
      </c>
      <c r="J158" s="122">
        <v>330769</v>
      </c>
      <c r="K158" s="122">
        <v>306164</v>
      </c>
      <c r="L158" s="122">
        <v>319285</v>
      </c>
      <c r="M158" s="122">
        <v>365883</v>
      </c>
      <c r="N158" s="142">
        <v>368233</v>
      </c>
      <c r="O158" s="142">
        <v>330230</v>
      </c>
      <c r="P158" s="142">
        <f>P150+P157</f>
        <v>331607</v>
      </c>
      <c r="Q158" s="142">
        <f>Q150+Q157</f>
        <v>356125</v>
      </c>
      <c r="R158" s="142">
        <v>382315</v>
      </c>
      <c r="S158" s="142">
        <v>385246.07047000004</v>
      </c>
      <c r="T158" s="142">
        <f>T150+T157</f>
        <v>361438</v>
      </c>
      <c r="V158" s="121" t="s">
        <v>125</v>
      </c>
      <c r="W158" s="142">
        <f>+W157+W150</f>
        <v>380329.74595000001</v>
      </c>
      <c r="X158" s="142">
        <v>340816.25433000003</v>
      </c>
      <c r="Y158" s="142">
        <v>338780.22716999997</v>
      </c>
      <c r="Z158" s="142">
        <f>+Z157+Z150</f>
        <v>339642.24566000002</v>
      </c>
      <c r="AA158" s="142">
        <f>+AA157+AA150</f>
        <v>394780.84663999995</v>
      </c>
      <c r="AB158" s="142">
        <v>359625.79872999998</v>
      </c>
    </row>
    <row r="159" spans="2:28" ht="15.6" thickBot="1">
      <c r="B159" s="123"/>
      <c r="C159" s="124"/>
      <c r="D159" s="124"/>
      <c r="E159" s="124"/>
      <c r="F159" s="124"/>
      <c r="G159" s="124"/>
      <c r="H159" s="124"/>
      <c r="I159" s="124"/>
      <c r="J159" s="124"/>
      <c r="K159" s="124"/>
      <c r="L159" s="124"/>
      <c r="M159" s="124"/>
      <c r="N159" s="143"/>
      <c r="O159" s="143"/>
      <c r="P159" s="143"/>
      <c r="Q159" s="143"/>
      <c r="R159" s="143"/>
      <c r="S159" s="143">
        <v>0</v>
      </c>
      <c r="V159" s="123"/>
    </row>
    <row r="160" spans="2:28" ht="15.6" thickBot="1">
      <c r="B160" s="129" t="s">
        <v>126</v>
      </c>
      <c r="C160" s="128"/>
      <c r="D160" s="128"/>
      <c r="E160" s="128"/>
      <c r="F160" s="128"/>
      <c r="G160" s="128"/>
      <c r="H160" s="128"/>
      <c r="I160" s="128"/>
      <c r="J160" s="128"/>
      <c r="K160" s="128"/>
      <c r="L160" s="128"/>
      <c r="M160" s="128"/>
      <c r="N160" s="146"/>
      <c r="O160" s="146"/>
      <c r="P160" s="146"/>
      <c r="Q160" s="146"/>
      <c r="R160" s="146"/>
      <c r="S160" s="146"/>
      <c r="T160" s="146"/>
      <c r="V160" s="129" t="s">
        <v>126</v>
      </c>
      <c r="W160" s="146"/>
      <c r="X160" s="146"/>
      <c r="Y160" s="146"/>
      <c r="Z160" s="146"/>
      <c r="AA160" s="146"/>
      <c r="AB160" s="146"/>
    </row>
    <row r="161" spans="1:28" ht="15.6">
      <c r="B161" s="72" t="s">
        <v>430</v>
      </c>
      <c r="C161" s="107">
        <v>23683</v>
      </c>
      <c r="D161" s="107">
        <v>23683</v>
      </c>
      <c r="E161" s="107">
        <v>23683</v>
      </c>
      <c r="F161" s="107">
        <v>23683</v>
      </c>
      <c r="G161" s="107">
        <v>23683</v>
      </c>
      <c r="H161" s="107">
        <v>23683</v>
      </c>
      <c r="I161" s="107">
        <v>23683</v>
      </c>
      <c r="J161" s="107">
        <v>23683</v>
      </c>
      <c r="K161" s="107">
        <v>23683</v>
      </c>
      <c r="L161" s="107">
        <v>23683</v>
      </c>
      <c r="M161" s="107">
        <v>23683</v>
      </c>
      <c r="N161" s="107">
        <v>23683</v>
      </c>
      <c r="O161" s="107">
        <v>23683</v>
      </c>
      <c r="P161" s="155">
        <v>23683</v>
      </c>
      <c r="Q161" s="155">
        <v>23683</v>
      </c>
      <c r="R161" s="155">
        <v>23683</v>
      </c>
      <c r="S161" s="155">
        <v>23682.675870000003</v>
      </c>
      <c r="T161" s="155">
        <v>23682.675870000003</v>
      </c>
      <c r="V161" s="72" t="s">
        <v>430</v>
      </c>
      <c r="W161" s="155">
        <v>23682.675870000003</v>
      </c>
      <c r="X161" s="155">
        <v>23682.675870000003</v>
      </c>
      <c r="Y161" s="155">
        <v>23682.675870000003</v>
      </c>
      <c r="Z161" s="155">
        <v>23682.675870000003</v>
      </c>
      <c r="AA161" s="155">
        <v>23682.675870000003</v>
      </c>
      <c r="AB161" s="155">
        <v>23682.675870000003</v>
      </c>
    </row>
    <row r="162" spans="1:28" ht="15.6">
      <c r="B162" s="72" t="s">
        <v>431</v>
      </c>
      <c r="C162" s="107">
        <v>97571</v>
      </c>
      <c r="D162" s="107">
        <v>97571</v>
      </c>
      <c r="E162" s="107">
        <v>97571</v>
      </c>
      <c r="F162" s="107">
        <v>97571</v>
      </c>
      <c r="G162" s="107">
        <v>97571</v>
      </c>
      <c r="H162" s="107">
        <v>97571</v>
      </c>
      <c r="I162" s="107">
        <v>97571</v>
      </c>
      <c r="J162" s="107">
        <v>97571</v>
      </c>
      <c r="K162" s="107">
        <v>97571</v>
      </c>
      <c r="L162" s="107">
        <v>97571</v>
      </c>
      <c r="M162" s="107">
        <v>97571</v>
      </c>
      <c r="N162" s="107">
        <v>97571</v>
      </c>
      <c r="O162" s="107">
        <v>97571</v>
      </c>
      <c r="P162" s="155">
        <v>97571</v>
      </c>
      <c r="Q162" s="155">
        <v>97571</v>
      </c>
      <c r="R162" s="155">
        <v>97571</v>
      </c>
      <c r="S162" s="155">
        <v>72571.273010000004</v>
      </c>
      <c r="T162" s="155">
        <v>72571.273010000004</v>
      </c>
      <c r="V162" s="72" t="s">
        <v>431</v>
      </c>
      <c r="W162" s="155">
        <v>72571.273010000004</v>
      </c>
      <c r="X162" s="155">
        <v>65571.273010000004</v>
      </c>
      <c r="Y162" s="155">
        <v>65571.273010000004</v>
      </c>
      <c r="Z162" s="155">
        <v>47271.273009999997</v>
      </c>
      <c r="AA162" s="155">
        <v>47271.273009999997</v>
      </c>
      <c r="AB162" s="155">
        <v>47271.273009999997</v>
      </c>
    </row>
    <row r="163" spans="1:28" ht="15.6">
      <c r="B163" s="72" t="s">
        <v>405</v>
      </c>
      <c r="C163" s="107">
        <v>4737</v>
      </c>
      <c r="D163" s="107">
        <v>4737</v>
      </c>
      <c r="E163" s="107">
        <v>4737</v>
      </c>
      <c r="F163" s="107">
        <v>4737</v>
      </c>
      <c r="G163" s="107">
        <v>4737</v>
      </c>
      <c r="H163" s="107">
        <v>4737</v>
      </c>
      <c r="I163" s="107">
        <v>4737</v>
      </c>
      <c r="J163" s="107">
        <v>4737</v>
      </c>
      <c r="K163" s="107">
        <v>4737</v>
      </c>
      <c r="L163" s="107">
        <v>4737</v>
      </c>
      <c r="M163" s="107">
        <v>4737</v>
      </c>
      <c r="N163" s="107">
        <v>4737</v>
      </c>
      <c r="O163" s="107">
        <v>4737</v>
      </c>
      <c r="P163" s="155">
        <v>4737</v>
      </c>
      <c r="Q163" s="155">
        <v>4737</v>
      </c>
      <c r="R163" s="155">
        <v>4737</v>
      </c>
      <c r="S163" s="155">
        <v>4736.5354600000001</v>
      </c>
      <c r="T163" s="155">
        <v>4736.5354600000001</v>
      </c>
      <c r="V163" s="72" t="s">
        <v>405</v>
      </c>
      <c r="W163" s="155">
        <v>4736.5354600000001</v>
      </c>
      <c r="X163" s="155">
        <v>4736.5354600000001</v>
      </c>
      <c r="Y163" s="155">
        <v>4736.5354600000001</v>
      </c>
      <c r="Z163" s="155">
        <v>4736.5354600000001</v>
      </c>
      <c r="AA163" s="155">
        <v>4736.5354600000001</v>
      </c>
      <c r="AB163" s="155">
        <v>4736.5354600000001</v>
      </c>
    </row>
    <row r="164" spans="1:28" ht="15.6">
      <c r="B164" s="72" t="s">
        <v>432</v>
      </c>
      <c r="C164" s="107">
        <v>-9189</v>
      </c>
      <c r="D164" s="107">
        <v>-4784</v>
      </c>
      <c r="E164" s="107">
        <v>-3874</v>
      </c>
      <c r="F164" s="107">
        <v>-3534</v>
      </c>
      <c r="G164" s="107">
        <v>-3372</v>
      </c>
      <c r="H164" s="107">
        <v>-4330</v>
      </c>
      <c r="I164" s="107">
        <v>-3944</v>
      </c>
      <c r="J164" s="107">
        <v>-4306</v>
      </c>
      <c r="K164" s="107">
        <v>-3642</v>
      </c>
      <c r="L164" s="107">
        <v>-2817</v>
      </c>
      <c r="M164" s="107">
        <v>-3407</v>
      </c>
      <c r="N164" s="107">
        <v>-2829</v>
      </c>
      <c r="O164" s="107">
        <v>-2237</v>
      </c>
      <c r="P164" s="155">
        <v>-1793</v>
      </c>
      <c r="Q164" s="155">
        <v>-1754</v>
      </c>
      <c r="R164" s="155">
        <v>-1106</v>
      </c>
      <c r="S164" s="155">
        <v>-1685.53964</v>
      </c>
      <c r="T164" s="155">
        <v>-1574</v>
      </c>
      <c r="V164" s="72" t="s">
        <v>432</v>
      </c>
      <c r="W164" s="155">
        <v>-1089.0482199999999</v>
      </c>
      <c r="X164" s="155">
        <v>-1872.7554499999999</v>
      </c>
      <c r="Y164" s="155">
        <v>-1286.5388600000001</v>
      </c>
      <c r="Z164" s="155">
        <v>-385.04442</v>
      </c>
      <c r="AA164" s="155">
        <v>14213.738049999998</v>
      </c>
      <c r="AB164" s="155">
        <v>32504.236499999999</v>
      </c>
    </row>
    <row r="165" spans="1:28" ht="15.6">
      <c r="B165" s="72" t="s">
        <v>406</v>
      </c>
      <c r="C165" s="107">
        <v>82918</v>
      </c>
      <c r="D165" s="107">
        <v>73162</v>
      </c>
      <c r="E165" s="107">
        <v>43291</v>
      </c>
      <c r="F165" s="107">
        <v>53814</v>
      </c>
      <c r="G165" s="107">
        <v>64729</v>
      </c>
      <c r="H165" s="107">
        <v>65199</v>
      </c>
      <c r="I165" s="107">
        <v>17150</v>
      </c>
      <c r="J165" s="107">
        <v>28968</v>
      </c>
      <c r="K165" s="107">
        <v>41788</v>
      </c>
      <c r="L165" s="107">
        <v>70132</v>
      </c>
      <c r="M165" s="107">
        <v>81843</v>
      </c>
      <c r="N165" s="107">
        <v>24303</v>
      </c>
      <c r="O165" s="107">
        <v>36486</v>
      </c>
      <c r="P165" s="155">
        <v>46208</v>
      </c>
      <c r="Q165" s="155">
        <v>13323</v>
      </c>
      <c r="R165" s="155">
        <v>25405</v>
      </c>
      <c r="S165" s="155">
        <v>39721.674399999996</v>
      </c>
      <c r="T165" s="155">
        <v>28761</v>
      </c>
      <c r="V165" s="72" t="s">
        <v>406</v>
      </c>
      <c r="W165" s="155">
        <v>15132.702450000001</v>
      </c>
      <c r="X165" s="155">
        <v>30077.071090000001</v>
      </c>
      <c r="Y165" s="155">
        <v>48199.697190000021</v>
      </c>
      <c r="Z165" s="155">
        <v>63994.639810000001</v>
      </c>
      <c r="AA165" s="155">
        <v>0</v>
      </c>
      <c r="AB165" s="155"/>
    </row>
    <row r="166" spans="1:28" ht="15.6" thickBot="1">
      <c r="B166" s="115" t="s">
        <v>135</v>
      </c>
      <c r="C166" s="120">
        <v>199720</v>
      </c>
      <c r="D166" s="120">
        <v>194369</v>
      </c>
      <c r="E166" s="120">
        <v>165408</v>
      </c>
      <c r="F166" s="120">
        <v>176271</v>
      </c>
      <c r="G166" s="120">
        <v>187348</v>
      </c>
      <c r="H166" s="120">
        <v>186860</v>
      </c>
      <c r="I166" s="120">
        <v>139197</v>
      </c>
      <c r="J166" s="120">
        <v>150653</v>
      </c>
      <c r="K166" s="120">
        <v>164137</v>
      </c>
      <c r="L166" s="120">
        <v>193306</v>
      </c>
      <c r="M166" s="120">
        <v>204427</v>
      </c>
      <c r="N166" s="141">
        <v>147465</v>
      </c>
      <c r="O166" s="141">
        <v>160240</v>
      </c>
      <c r="P166" s="141">
        <f>SUM(P161:P165)</f>
        <v>170406</v>
      </c>
      <c r="Q166" s="141">
        <f>SUM(Q161:Q165)</f>
        <v>137560</v>
      </c>
      <c r="R166" s="141">
        <v>150290</v>
      </c>
      <c r="S166" s="141">
        <v>139026.61910000001</v>
      </c>
      <c r="T166" s="141">
        <f>SUM(T161:T165)</f>
        <v>128177.48434000001</v>
      </c>
      <c r="V166" s="115" t="s">
        <v>135</v>
      </c>
      <c r="W166" s="141">
        <f>+SUM(W161:W165)</f>
        <v>115034.13857000001</v>
      </c>
      <c r="X166" s="141">
        <v>122194.79998000001</v>
      </c>
      <c r="Y166" s="141">
        <v>140903.64267000003</v>
      </c>
      <c r="Z166" s="141">
        <f>+SUM(Z161:Z165)</f>
        <v>139300.07973</v>
      </c>
      <c r="AA166" s="141">
        <f>+SUM(AA161:AA165)</f>
        <v>89904.222389999995</v>
      </c>
      <c r="AB166" s="141">
        <v>108194.72083999999</v>
      </c>
    </row>
    <row r="167" spans="1:28" ht="15.6" thickBot="1">
      <c r="B167" s="130" t="s">
        <v>136</v>
      </c>
      <c r="C167" s="122">
        <v>526718</v>
      </c>
      <c r="D167" s="122">
        <v>515963</v>
      </c>
      <c r="E167" s="122">
        <v>543428</v>
      </c>
      <c r="F167" s="122">
        <v>503172</v>
      </c>
      <c r="G167" s="122">
        <v>503062</v>
      </c>
      <c r="H167" s="122">
        <v>505908</v>
      </c>
      <c r="I167" s="122">
        <v>509777</v>
      </c>
      <c r="J167" s="122">
        <v>481422</v>
      </c>
      <c r="K167" s="122">
        <v>470301</v>
      </c>
      <c r="L167" s="122">
        <v>512591</v>
      </c>
      <c r="M167" s="122">
        <v>570310</v>
      </c>
      <c r="N167" s="142">
        <v>515698</v>
      </c>
      <c r="O167" s="142">
        <v>490470</v>
      </c>
      <c r="P167" s="142">
        <f>P158+P166</f>
        <v>502013</v>
      </c>
      <c r="Q167" s="142">
        <f>Q158+Q166</f>
        <v>493685</v>
      </c>
      <c r="R167" s="142">
        <v>532605</v>
      </c>
      <c r="S167" s="142">
        <v>524272.68957000005</v>
      </c>
      <c r="T167" s="142">
        <f>T158+T166</f>
        <v>489615.48434000002</v>
      </c>
      <c r="V167" s="130" t="s">
        <v>136</v>
      </c>
      <c r="W167" s="142">
        <f>+W166+W158</f>
        <v>495363.88452000002</v>
      </c>
      <c r="X167" s="142">
        <v>463011.05431000004</v>
      </c>
      <c r="Y167" s="142">
        <v>479683.86984</v>
      </c>
      <c r="Z167" s="142">
        <f>+Z166+Z158</f>
        <v>478942.32539000001</v>
      </c>
      <c r="AA167" s="142">
        <f>+AA166+AA158</f>
        <v>484685.06902999996</v>
      </c>
      <c r="AB167" s="142">
        <v>467820.51957</v>
      </c>
    </row>
    <row r="168" spans="1:28" ht="15.6">
      <c r="B168" s="67"/>
      <c r="C168" s="111">
        <f>+C140-C158-C166</f>
        <v>0</v>
      </c>
      <c r="D168" s="111">
        <f t="shared" ref="D168:Q168" si="45">+D140-D158-D166</f>
        <v>0</v>
      </c>
      <c r="E168" s="111">
        <f t="shared" si="45"/>
        <v>0</v>
      </c>
      <c r="F168" s="111">
        <f t="shared" si="45"/>
        <v>0</v>
      </c>
      <c r="G168" s="111">
        <f t="shared" si="45"/>
        <v>0</v>
      </c>
      <c r="H168" s="111">
        <f t="shared" si="45"/>
        <v>0</v>
      </c>
      <c r="I168" s="111">
        <f t="shared" si="45"/>
        <v>0</v>
      </c>
      <c r="J168" s="111">
        <f t="shared" si="45"/>
        <v>0</v>
      </c>
      <c r="K168" s="111">
        <f t="shared" si="45"/>
        <v>0</v>
      </c>
      <c r="L168" s="111">
        <f t="shared" si="45"/>
        <v>0</v>
      </c>
      <c r="M168" s="111">
        <f t="shared" si="45"/>
        <v>0</v>
      </c>
      <c r="N168" s="111">
        <f t="shared" si="45"/>
        <v>0</v>
      </c>
      <c r="O168" s="111">
        <v>0</v>
      </c>
      <c r="P168" s="111">
        <f t="shared" si="45"/>
        <v>0</v>
      </c>
      <c r="Q168" s="111">
        <f t="shared" si="45"/>
        <v>0</v>
      </c>
      <c r="R168" s="111">
        <v>0</v>
      </c>
      <c r="S168" s="111">
        <v>0</v>
      </c>
    </row>
    <row r="169" spans="1:28" ht="15.6">
      <c r="B169" s="67"/>
      <c r="C169" s="67"/>
      <c r="D169" s="67"/>
      <c r="E169" s="67"/>
      <c r="F169" s="67"/>
      <c r="G169" s="67"/>
      <c r="H169" s="67"/>
      <c r="I169" s="67"/>
      <c r="J169" s="67"/>
      <c r="K169" s="67"/>
      <c r="L169" s="67"/>
      <c r="M169" s="67"/>
      <c r="N169" s="67"/>
      <c r="O169" s="67"/>
      <c r="P169" s="67"/>
      <c r="Q169" s="67"/>
      <c r="R169" s="67"/>
      <c r="S169" s="67"/>
    </row>
    <row r="170" spans="1:28" ht="15.6">
      <c r="B170" s="67"/>
      <c r="C170" s="67"/>
      <c r="D170" s="67"/>
      <c r="E170" s="67"/>
      <c r="F170" s="67"/>
      <c r="G170" s="67"/>
      <c r="H170" s="67"/>
      <c r="I170" s="67"/>
      <c r="J170" s="67"/>
      <c r="K170" s="67"/>
      <c r="L170" s="67"/>
      <c r="M170" s="67"/>
      <c r="N170" s="67"/>
      <c r="O170" s="67"/>
      <c r="P170" s="67"/>
      <c r="Q170" s="67"/>
      <c r="R170" s="67"/>
      <c r="S170" s="67"/>
    </row>
    <row r="171" spans="1:28" ht="15.6">
      <c r="A171" s="48" t="s">
        <v>137</v>
      </c>
      <c r="B171" s="11" t="s">
        <v>433</v>
      </c>
      <c r="C171" s="105"/>
      <c r="D171" s="105"/>
      <c r="E171" s="105"/>
      <c r="F171" s="105"/>
      <c r="G171" s="105"/>
      <c r="H171" s="105"/>
      <c r="I171" s="67"/>
      <c r="J171" s="67"/>
      <c r="K171" s="67"/>
      <c r="L171" s="67"/>
      <c r="M171" s="105"/>
      <c r="N171" s="105"/>
      <c r="O171" s="105"/>
      <c r="P171" s="105"/>
      <c r="Q171" s="105"/>
      <c r="R171" s="105"/>
      <c r="S171" s="105"/>
    </row>
    <row r="172" spans="1:28" ht="15.6">
      <c r="B172" s="13" t="s">
        <v>385</v>
      </c>
      <c r="C172" s="105"/>
      <c r="D172" s="105"/>
      <c r="E172" s="67"/>
      <c r="F172" s="67"/>
      <c r="G172" s="67"/>
      <c r="H172" s="67"/>
      <c r="I172" s="67"/>
      <c r="J172" s="67"/>
      <c r="K172" s="67"/>
      <c r="L172" s="67"/>
      <c r="M172" s="67"/>
      <c r="N172" s="67"/>
      <c r="O172" s="67"/>
      <c r="P172" s="67"/>
      <c r="Q172" s="67"/>
      <c r="R172" s="67"/>
      <c r="S172" s="67"/>
    </row>
    <row r="173" spans="1:28" ht="15.6">
      <c r="B173" s="67"/>
      <c r="C173" s="105">
        <f>8328-C190</f>
        <v>0</v>
      </c>
      <c r="D173" s="105">
        <f>9521-D190</f>
        <v>0</v>
      </c>
      <c r="E173" s="67"/>
      <c r="F173" s="67"/>
      <c r="G173" s="67"/>
      <c r="H173" s="67"/>
      <c r="I173" s="105"/>
      <c r="J173" s="105"/>
      <c r="K173" s="105"/>
      <c r="L173" s="105"/>
      <c r="M173" s="67"/>
      <c r="N173" s="67"/>
      <c r="O173" s="67"/>
      <c r="P173" s="67"/>
      <c r="Q173" s="67"/>
      <c r="R173" s="67"/>
      <c r="S173" s="67"/>
    </row>
    <row r="174" spans="1:28" ht="15">
      <c r="B174" s="250"/>
      <c r="C174" s="251">
        <v>2016</v>
      </c>
      <c r="D174" s="251">
        <v>2017</v>
      </c>
      <c r="E174" s="251" t="s">
        <v>40</v>
      </c>
      <c r="F174" s="251" t="s">
        <v>41</v>
      </c>
      <c r="G174" s="251" t="s">
        <v>42</v>
      </c>
      <c r="H174" s="251" t="s">
        <v>43</v>
      </c>
      <c r="I174" s="251" t="s">
        <v>44</v>
      </c>
      <c r="J174" s="251" t="s">
        <v>45</v>
      </c>
      <c r="K174" s="251" t="s">
        <v>46</v>
      </c>
      <c r="L174" s="251" t="s">
        <v>47</v>
      </c>
      <c r="M174" s="251" t="s">
        <v>48</v>
      </c>
      <c r="N174" s="251" t="s">
        <v>49</v>
      </c>
      <c r="O174" s="251" t="s">
        <v>50</v>
      </c>
      <c r="P174" s="251" t="s">
        <v>51</v>
      </c>
      <c r="Q174" s="251" t="s">
        <v>52</v>
      </c>
      <c r="R174" s="251" t="s">
        <v>53</v>
      </c>
      <c r="S174" s="251" t="s">
        <v>54</v>
      </c>
      <c r="T174" s="251" t="s">
        <v>55</v>
      </c>
      <c r="W174" s="251" t="s">
        <v>87</v>
      </c>
      <c r="X174" s="251" t="s">
        <v>56</v>
      </c>
      <c r="Y174" s="251" t="s">
        <v>57</v>
      </c>
      <c r="Z174" s="251" t="s">
        <v>1154</v>
      </c>
      <c r="AA174" s="251" t="s">
        <v>1169</v>
      </c>
      <c r="AB174" s="251" t="s">
        <v>1207</v>
      </c>
    </row>
    <row r="175" spans="1:28" ht="15.6">
      <c r="B175" s="152"/>
      <c r="C175" s="153"/>
      <c r="D175" s="153"/>
      <c r="E175" s="153"/>
      <c r="F175" s="153"/>
      <c r="G175" s="153"/>
      <c r="H175" s="153"/>
      <c r="I175" s="153"/>
      <c r="J175" s="153"/>
      <c r="K175" s="153"/>
      <c r="L175" s="153"/>
      <c r="M175" s="153"/>
      <c r="N175" s="153"/>
      <c r="O175" s="153"/>
      <c r="P175" s="153"/>
      <c r="Q175" s="153"/>
      <c r="R175" s="153"/>
      <c r="S175" s="153"/>
      <c r="T175" s="153"/>
      <c r="W175" s="153"/>
      <c r="X175" s="153"/>
      <c r="Y175" s="153"/>
      <c r="Z175" s="153"/>
      <c r="AA175" s="153"/>
      <c r="AB175" s="153"/>
    </row>
    <row r="176" spans="1:28" ht="15.6">
      <c r="B176" s="154" t="s">
        <v>58</v>
      </c>
      <c r="C176" s="155">
        <v>19784</v>
      </c>
      <c r="D176" s="155">
        <v>32</v>
      </c>
      <c r="E176" s="155">
        <v>0</v>
      </c>
      <c r="F176" s="155">
        <v>0</v>
      </c>
      <c r="G176" s="155">
        <v>0</v>
      </c>
      <c r="H176" s="155">
        <v>0</v>
      </c>
      <c r="I176" s="155">
        <v>0</v>
      </c>
      <c r="J176" s="155">
        <v>0</v>
      </c>
      <c r="K176" s="155">
        <v>0</v>
      </c>
      <c r="L176" s="155">
        <v>0</v>
      </c>
      <c r="M176" s="155">
        <v>0</v>
      </c>
      <c r="N176" s="155">
        <v>0</v>
      </c>
      <c r="O176" s="155">
        <v>0</v>
      </c>
      <c r="P176" s="155">
        <v>0</v>
      </c>
      <c r="Q176" s="155">
        <v>0</v>
      </c>
      <c r="R176" s="155">
        <v>0</v>
      </c>
      <c r="S176" s="155">
        <v>0</v>
      </c>
      <c r="T176" s="155">
        <v>0</v>
      </c>
      <c r="V176" s="72" t="s">
        <v>58</v>
      </c>
      <c r="W176" s="155">
        <v>0</v>
      </c>
      <c r="X176" s="155">
        <v>0</v>
      </c>
      <c r="Y176" s="155">
        <v>0</v>
      </c>
      <c r="Z176" s="155">
        <v>0</v>
      </c>
      <c r="AA176" s="155">
        <v>0</v>
      </c>
      <c r="AB176" s="155">
        <v>0</v>
      </c>
    </row>
    <row r="177" spans="2:28" ht="15.6">
      <c r="B177" s="154" t="s">
        <v>59</v>
      </c>
      <c r="C177" s="155">
        <v>19784</v>
      </c>
      <c r="D177" s="155">
        <v>32</v>
      </c>
      <c r="E177" s="155">
        <v>0</v>
      </c>
      <c r="F177" s="155">
        <v>0</v>
      </c>
      <c r="G177" s="155">
        <v>0</v>
      </c>
      <c r="H177" s="155">
        <v>0</v>
      </c>
      <c r="I177" s="155">
        <v>0</v>
      </c>
      <c r="J177" s="155">
        <v>0</v>
      </c>
      <c r="K177" s="155">
        <v>0</v>
      </c>
      <c r="L177" s="155">
        <v>0</v>
      </c>
      <c r="M177" s="155">
        <v>0</v>
      </c>
      <c r="N177" s="155">
        <v>0</v>
      </c>
      <c r="O177" s="155">
        <v>0</v>
      </c>
      <c r="P177" s="155">
        <v>0</v>
      </c>
      <c r="Q177" s="155">
        <v>0</v>
      </c>
      <c r="R177" s="155">
        <v>0</v>
      </c>
      <c r="S177" s="155">
        <v>0</v>
      </c>
      <c r="T177" s="155">
        <v>0</v>
      </c>
      <c r="V177" s="72" t="s">
        <v>59</v>
      </c>
      <c r="W177" s="155">
        <v>0</v>
      </c>
      <c r="X177" s="155">
        <v>0</v>
      </c>
      <c r="Y177" s="155">
        <v>0</v>
      </c>
      <c r="Z177" s="155">
        <v>0</v>
      </c>
      <c r="AA177" s="155">
        <v>0</v>
      </c>
      <c r="AB177" s="155">
        <v>0</v>
      </c>
    </row>
    <row r="178" spans="2:28" ht="15.6">
      <c r="B178" s="156" t="s">
        <v>60</v>
      </c>
      <c r="C178" s="157">
        <f t="shared" ref="C178:N178" si="46">+C176-C177</f>
        <v>0</v>
      </c>
      <c r="D178" s="157">
        <f t="shared" si="46"/>
        <v>0</v>
      </c>
      <c r="E178" s="157">
        <f t="shared" si="46"/>
        <v>0</v>
      </c>
      <c r="F178" s="157">
        <f t="shared" si="46"/>
        <v>0</v>
      </c>
      <c r="G178" s="157">
        <f t="shared" si="46"/>
        <v>0</v>
      </c>
      <c r="H178" s="157">
        <f t="shared" si="46"/>
        <v>0</v>
      </c>
      <c r="I178" s="157">
        <f t="shared" si="46"/>
        <v>0</v>
      </c>
      <c r="J178" s="157">
        <f t="shared" si="46"/>
        <v>0</v>
      </c>
      <c r="K178" s="157">
        <f t="shared" si="46"/>
        <v>0</v>
      </c>
      <c r="L178" s="157">
        <f t="shared" si="46"/>
        <v>0</v>
      </c>
      <c r="M178" s="157">
        <f t="shared" si="46"/>
        <v>0</v>
      </c>
      <c r="N178" s="157">
        <f t="shared" si="46"/>
        <v>0</v>
      </c>
      <c r="O178" s="157">
        <v>0</v>
      </c>
      <c r="P178" s="157">
        <v>0</v>
      </c>
      <c r="Q178" s="157">
        <v>0</v>
      </c>
      <c r="R178" s="157">
        <v>0</v>
      </c>
      <c r="S178" s="157">
        <v>0</v>
      </c>
      <c r="T178" s="157">
        <v>0</v>
      </c>
      <c r="V178" s="131" t="s">
        <v>408</v>
      </c>
      <c r="W178" s="157">
        <f>+W176-W177</f>
        <v>0</v>
      </c>
      <c r="X178" s="157">
        <v>0</v>
      </c>
      <c r="Y178" s="157">
        <v>0</v>
      </c>
      <c r="Z178" s="157">
        <v>0</v>
      </c>
      <c r="AA178" s="157">
        <v>0</v>
      </c>
      <c r="AB178" s="157">
        <v>0</v>
      </c>
    </row>
    <row r="179" spans="2:28" ht="15.6">
      <c r="B179" s="137"/>
      <c r="C179" s="31"/>
      <c r="D179" s="31"/>
      <c r="E179" s="31"/>
      <c r="F179" s="31"/>
      <c r="G179" s="31"/>
      <c r="H179" s="31"/>
      <c r="I179" s="31"/>
      <c r="J179" s="31"/>
      <c r="K179" s="31"/>
      <c r="L179" s="31"/>
      <c r="M179" s="31"/>
      <c r="N179" s="31"/>
      <c r="O179" s="31"/>
      <c r="P179" s="153"/>
      <c r="Q179" s="153"/>
      <c r="R179" s="153"/>
      <c r="S179" s="153"/>
      <c r="T179" s="153"/>
      <c r="V179" s="137"/>
      <c r="W179" s="153"/>
      <c r="X179" s="153"/>
      <c r="Y179" s="153"/>
      <c r="Z179" s="153"/>
      <c r="AA179" s="153"/>
      <c r="AB179" s="153"/>
    </row>
    <row r="180" spans="2:28" ht="15.6">
      <c r="B180" s="72" t="s">
        <v>409</v>
      </c>
      <c r="C180" s="107">
        <v>13606</v>
      </c>
      <c r="D180" s="107">
        <v>15366</v>
      </c>
      <c r="E180" s="107">
        <v>3791</v>
      </c>
      <c r="F180" s="107">
        <v>4173</v>
      </c>
      <c r="G180" s="107">
        <v>4437</v>
      </c>
      <c r="H180" s="107">
        <v>4492</v>
      </c>
      <c r="I180" s="107">
        <v>4679</v>
      </c>
      <c r="J180" s="107">
        <v>4737</v>
      </c>
      <c r="K180" s="107">
        <v>4226</v>
      </c>
      <c r="L180" s="107">
        <v>4536</v>
      </c>
      <c r="M180" s="107">
        <v>4398</v>
      </c>
      <c r="N180" s="107">
        <v>4633</v>
      </c>
      <c r="O180" s="107">
        <v>4692</v>
      </c>
      <c r="P180" s="155">
        <v>4711</v>
      </c>
      <c r="Q180" s="155">
        <v>7593</v>
      </c>
      <c r="R180" s="155">
        <v>7354</v>
      </c>
      <c r="S180" s="155">
        <v>7548.1848299999983</v>
      </c>
      <c r="T180" s="155">
        <v>7589</v>
      </c>
      <c r="V180" s="72" t="s">
        <v>142</v>
      </c>
      <c r="W180" s="155">
        <v>7772.3031999999994</v>
      </c>
      <c r="X180" s="155">
        <v>7925.2119500000017</v>
      </c>
      <c r="Y180" s="155">
        <v>7821.8840799999989</v>
      </c>
      <c r="Z180" s="155">
        <f>-23519+(31529553/1000)-1</f>
        <v>8009.5529999999999</v>
      </c>
      <c r="AA180" s="155">
        <v>8003.34944</v>
      </c>
      <c r="AB180" s="155">
        <v>7802.6636699999999</v>
      </c>
    </row>
    <row r="181" spans="2:28" ht="15.6">
      <c r="B181" s="72" t="s">
        <v>410</v>
      </c>
      <c r="C181" s="107">
        <v>121</v>
      </c>
      <c r="D181" s="107">
        <v>163</v>
      </c>
      <c r="E181" s="107">
        <v>25</v>
      </c>
      <c r="F181" s="107">
        <v>25</v>
      </c>
      <c r="G181" s="107">
        <v>25</v>
      </c>
      <c r="H181" s="107">
        <v>30</v>
      </c>
      <c r="I181" s="107">
        <v>21</v>
      </c>
      <c r="J181" s="107">
        <v>30</v>
      </c>
      <c r="K181" s="107">
        <v>25</v>
      </c>
      <c r="L181" s="107">
        <v>30</v>
      </c>
      <c r="M181" s="107">
        <v>30</v>
      </c>
      <c r="N181" s="107">
        <v>27</v>
      </c>
      <c r="O181" s="107">
        <v>25</v>
      </c>
      <c r="P181" s="155">
        <v>36</v>
      </c>
      <c r="Q181" s="155">
        <v>101</v>
      </c>
      <c r="R181" s="155">
        <v>587</v>
      </c>
      <c r="S181" s="155">
        <v>-39.902330000000006</v>
      </c>
      <c r="T181" s="155">
        <v>178</v>
      </c>
      <c r="V181" s="72" t="s">
        <v>386</v>
      </c>
      <c r="W181" s="155">
        <v>213.55482000000001</v>
      </c>
      <c r="X181" s="155">
        <v>166.42483000000004</v>
      </c>
      <c r="Y181" s="155">
        <v>192.12482999999992</v>
      </c>
      <c r="Z181" s="155">
        <f>-572+(745782/1000)-1</f>
        <v>172.78200000000004</v>
      </c>
      <c r="AA181" s="155">
        <v>167.30260000000001</v>
      </c>
      <c r="AB181" s="155">
        <v>170.29805000000002</v>
      </c>
    </row>
    <row r="182" spans="2:28" ht="15.6">
      <c r="B182" s="154" t="s">
        <v>411</v>
      </c>
      <c r="C182" s="107">
        <v>0</v>
      </c>
      <c r="D182" s="107">
        <v>0</v>
      </c>
      <c r="E182" s="107">
        <v>0</v>
      </c>
      <c r="F182" s="107">
        <v>0</v>
      </c>
      <c r="G182" s="107">
        <v>0</v>
      </c>
      <c r="H182" s="107">
        <v>0</v>
      </c>
      <c r="I182" s="107">
        <v>0</v>
      </c>
      <c r="J182" s="107">
        <v>0</v>
      </c>
      <c r="K182" s="107">
        <v>0</v>
      </c>
      <c r="L182" s="107">
        <v>0</v>
      </c>
      <c r="M182" s="107">
        <v>0</v>
      </c>
      <c r="N182" s="107">
        <v>0</v>
      </c>
      <c r="O182" s="107">
        <v>0</v>
      </c>
      <c r="P182" s="155">
        <v>0</v>
      </c>
      <c r="Q182" s="155">
        <v>0</v>
      </c>
      <c r="R182" s="155">
        <v>0</v>
      </c>
      <c r="S182" s="155">
        <v>0</v>
      </c>
      <c r="T182" s="155">
        <v>0</v>
      </c>
      <c r="V182" s="72" t="s">
        <v>68</v>
      </c>
      <c r="W182" s="155">
        <v>12.397270000000001</v>
      </c>
      <c r="X182" s="155">
        <v>5.1699999999996749E-3</v>
      </c>
      <c r="Y182" s="155">
        <v>1.8271299999999986</v>
      </c>
      <c r="Z182" s="155">
        <f>-14+(107921/1000)</f>
        <v>93.921000000000006</v>
      </c>
      <c r="AA182" s="155">
        <v>150.36070000000001</v>
      </c>
      <c r="AB182" s="155">
        <v>0.5050600000000145</v>
      </c>
    </row>
    <row r="183" spans="2:28" ht="15.6">
      <c r="B183" s="72" t="s">
        <v>69</v>
      </c>
      <c r="C183" s="107">
        <v>1637</v>
      </c>
      <c r="D183" s="107">
        <v>1842</v>
      </c>
      <c r="E183" s="107">
        <v>387</v>
      </c>
      <c r="F183" s="107">
        <v>462</v>
      </c>
      <c r="G183" s="107">
        <v>573</v>
      </c>
      <c r="H183" s="107">
        <v>591</v>
      </c>
      <c r="I183" s="107">
        <v>504</v>
      </c>
      <c r="J183" s="107">
        <v>493</v>
      </c>
      <c r="K183" s="107">
        <v>636</v>
      </c>
      <c r="L183" s="107">
        <v>701</v>
      </c>
      <c r="M183" s="107">
        <v>661</v>
      </c>
      <c r="N183" s="107">
        <v>695</v>
      </c>
      <c r="O183" s="107">
        <v>1758</v>
      </c>
      <c r="P183" s="155">
        <v>782</v>
      </c>
      <c r="Q183" s="155">
        <v>900</v>
      </c>
      <c r="R183" s="155">
        <v>1045</v>
      </c>
      <c r="S183" s="155">
        <v>1483.4238399999999</v>
      </c>
      <c r="T183" s="155">
        <v>1403</v>
      </c>
      <c r="V183" s="72" t="s">
        <v>69</v>
      </c>
      <c r="W183" s="155">
        <v>1422.2443400000002</v>
      </c>
      <c r="X183" s="155">
        <v>1116.25668</v>
      </c>
      <c r="Y183" s="155">
        <v>1245.3882399999998</v>
      </c>
      <c r="Z183" s="155">
        <f>-3784+(5311)</f>
        <v>1527</v>
      </c>
      <c r="AA183" s="155">
        <v>1077.64228</v>
      </c>
      <c r="AB183" s="155">
        <v>1408.4877900000001</v>
      </c>
    </row>
    <row r="184" spans="2:28" ht="15.6">
      <c r="B184" s="156" t="s">
        <v>70</v>
      </c>
      <c r="C184" s="157">
        <f t="shared" ref="C184:N184" si="47">+SUM(C180:C182)-C183</f>
        <v>12090</v>
      </c>
      <c r="D184" s="157">
        <f t="shared" si="47"/>
        <v>13687</v>
      </c>
      <c r="E184" s="157">
        <f t="shared" si="47"/>
        <v>3429</v>
      </c>
      <c r="F184" s="157">
        <f t="shared" si="47"/>
        <v>3736</v>
      </c>
      <c r="G184" s="157">
        <f t="shared" si="47"/>
        <v>3889</v>
      </c>
      <c r="H184" s="157">
        <f t="shared" si="47"/>
        <v>3931</v>
      </c>
      <c r="I184" s="157">
        <f t="shared" si="47"/>
        <v>4196</v>
      </c>
      <c r="J184" s="157">
        <f t="shared" si="47"/>
        <v>4274</v>
      </c>
      <c r="K184" s="157">
        <f t="shared" si="47"/>
        <v>3615</v>
      </c>
      <c r="L184" s="157">
        <f t="shared" si="47"/>
        <v>3865</v>
      </c>
      <c r="M184" s="157">
        <f t="shared" si="47"/>
        <v>3767</v>
      </c>
      <c r="N184" s="157">
        <f t="shared" si="47"/>
        <v>3965</v>
      </c>
      <c r="O184" s="157">
        <v>2959</v>
      </c>
      <c r="P184" s="157">
        <f>+SUM(P180:P182)-P183</f>
        <v>3965</v>
      </c>
      <c r="Q184" s="157">
        <f t="shared" ref="Q184" si="48">+SUM(Q180:Q182)-Q183</f>
        <v>6794</v>
      </c>
      <c r="R184" s="157">
        <v>6896</v>
      </c>
      <c r="S184" s="157">
        <v>6024.8586599999981</v>
      </c>
      <c r="T184" s="157">
        <f t="shared" ref="T184" si="49">+SUM(T180:T182)-T183</f>
        <v>6364</v>
      </c>
      <c r="V184" s="72" t="s">
        <v>71</v>
      </c>
      <c r="W184" s="155">
        <v>1123.8708999999999</v>
      </c>
      <c r="X184" s="155">
        <v>1168.1041299999997</v>
      </c>
      <c r="Y184" s="155">
        <v>1101.6193500000004</v>
      </c>
      <c r="Z184" s="155">
        <f>-3394+4748-1</f>
        <v>1353</v>
      </c>
      <c r="AA184" s="155">
        <v>1218.0603700000001</v>
      </c>
      <c r="AB184" s="155">
        <v>1220.5725700000003</v>
      </c>
    </row>
    <row r="185" spans="2:28" ht="15.6">
      <c r="B185" s="158" t="s">
        <v>147</v>
      </c>
      <c r="C185" s="159">
        <f t="shared" ref="C185:Q185" si="50">+C178+C184</f>
        <v>12090</v>
      </c>
      <c r="D185" s="159">
        <f t="shared" si="50"/>
        <v>13687</v>
      </c>
      <c r="E185" s="159">
        <f t="shared" si="50"/>
        <v>3429</v>
      </c>
      <c r="F185" s="159">
        <f t="shared" si="50"/>
        <v>3736</v>
      </c>
      <c r="G185" s="159">
        <f t="shared" si="50"/>
        <v>3889</v>
      </c>
      <c r="H185" s="159">
        <f t="shared" si="50"/>
        <v>3931</v>
      </c>
      <c r="I185" s="159">
        <f t="shared" si="50"/>
        <v>4196</v>
      </c>
      <c r="J185" s="159">
        <f t="shared" si="50"/>
        <v>4274</v>
      </c>
      <c r="K185" s="159">
        <f t="shared" si="50"/>
        <v>3615</v>
      </c>
      <c r="L185" s="159">
        <f t="shared" si="50"/>
        <v>3865</v>
      </c>
      <c r="M185" s="159">
        <f t="shared" si="50"/>
        <v>3767</v>
      </c>
      <c r="N185" s="159">
        <f t="shared" si="50"/>
        <v>3965</v>
      </c>
      <c r="O185" s="159">
        <v>2959</v>
      </c>
      <c r="P185" s="159">
        <f t="shared" si="50"/>
        <v>3965</v>
      </c>
      <c r="Q185" s="159">
        <f t="shared" si="50"/>
        <v>6794</v>
      </c>
      <c r="R185" s="159">
        <v>6896</v>
      </c>
      <c r="S185" s="159">
        <v>6024.8586599999981</v>
      </c>
      <c r="T185" s="159">
        <f t="shared" ref="T185" si="51">+T178+T184</f>
        <v>6364</v>
      </c>
      <c r="V185" s="74" t="s">
        <v>73</v>
      </c>
      <c r="W185" s="159">
        <f>+SUM(W180:W182)-SUM(W183:W184)+W178</f>
        <v>5452.14005</v>
      </c>
      <c r="X185" s="159">
        <v>5807.2811400000028</v>
      </c>
      <c r="Y185" s="159">
        <v>5668.8284499999982</v>
      </c>
      <c r="Z185" s="159">
        <f>+SUM(Z180:Z182)-SUM(Z183:Z184)+Z178</f>
        <v>5396.2559999999994</v>
      </c>
      <c r="AA185" s="159">
        <f>+SUM(AA180:AA182)-SUM(AA183:AA184)+AA178</f>
        <v>6025.3100899999999</v>
      </c>
      <c r="AB185" s="159">
        <v>5344.4064200000003</v>
      </c>
    </row>
    <row r="186" spans="2:28" ht="15.6">
      <c r="B186" s="71"/>
      <c r="C186" s="8"/>
      <c r="D186" s="8"/>
      <c r="E186" s="8"/>
      <c r="F186" s="8"/>
      <c r="G186" s="8"/>
      <c r="H186" s="8"/>
      <c r="I186" s="8"/>
      <c r="J186" s="150"/>
      <c r="K186" s="150"/>
      <c r="L186" s="150"/>
      <c r="M186" s="8"/>
      <c r="N186" s="150"/>
      <c r="O186" s="150"/>
      <c r="P186" s="288"/>
      <c r="Q186" s="288"/>
      <c r="R186" s="288"/>
      <c r="S186" s="288"/>
      <c r="T186" s="288"/>
      <c r="V186" s="71"/>
      <c r="W186" s="288"/>
      <c r="X186" s="288"/>
      <c r="Y186" s="288"/>
      <c r="Z186" s="288"/>
      <c r="AA186" s="288"/>
      <c r="AB186" s="288"/>
    </row>
    <row r="187" spans="2:28" ht="15.6">
      <c r="B187" s="72" t="s">
        <v>71</v>
      </c>
      <c r="C187" s="155">
        <v>3601</v>
      </c>
      <c r="D187" s="155">
        <v>4089</v>
      </c>
      <c r="E187" s="155">
        <v>975</v>
      </c>
      <c r="F187" s="155">
        <v>977</v>
      </c>
      <c r="G187" s="155">
        <v>975</v>
      </c>
      <c r="H187" s="155">
        <v>976</v>
      </c>
      <c r="I187" s="155">
        <v>901</v>
      </c>
      <c r="J187" s="155">
        <v>901</v>
      </c>
      <c r="K187" s="155">
        <v>900</v>
      </c>
      <c r="L187" s="155">
        <v>-596</v>
      </c>
      <c r="M187" s="155">
        <v>915</v>
      </c>
      <c r="N187" s="155">
        <v>915</v>
      </c>
      <c r="O187" s="155">
        <v>915</v>
      </c>
      <c r="P187" s="155">
        <v>972</v>
      </c>
      <c r="Q187" s="155">
        <v>1141</v>
      </c>
      <c r="R187" s="155">
        <v>1139</v>
      </c>
      <c r="S187" s="155">
        <v>1375.67679</v>
      </c>
      <c r="T187" s="155">
        <v>1178</v>
      </c>
      <c r="V187" s="72"/>
      <c r="W187" s="155"/>
      <c r="X187" s="155">
        <v>0</v>
      </c>
      <c r="Y187" s="155">
        <v>0</v>
      </c>
      <c r="Z187" s="155">
        <v>0</v>
      </c>
      <c r="AA187" s="155">
        <v>0</v>
      </c>
      <c r="AB187" s="155"/>
    </row>
    <row r="188" spans="2:28" ht="15.6">
      <c r="B188" s="72" t="s">
        <v>74</v>
      </c>
      <c r="C188" s="107">
        <v>0</v>
      </c>
      <c r="D188" s="107">
        <v>0</v>
      </c>
      <c r="E188" s="107">
        <v>0</v>
      </c>
      <c r="F188" s="107">
        <v>0</v>
      </c>
      <c r="G188" s="107">
        <v>0</v>
      </c>
      <c r="H188" s="107">
        <v>0</v>
      </c>
      <c r="I188" s="107">
        <v>0</v>
      </c>
      <c r="J188" s="107">
        <v>0</v>
      </c>
      <c r="K188" s="107">
        <v>0</v>
      </c>
      <c r="L188" s="107">
        <v>0</v>
      </c>
      <c r="M188" s="107">
        <v>0</v>
      </c>
      <c r="N188" s="107">
        <v>0</v>
      </c>
      <c r="O188" s="107">
        <v>0</v>
      </c>
      <c r="P188" s="155">
        <v>0</v>
      </c>
      <c r="Q188" s="155">
        <v>0</v>
      </c>
      <c r="R188" s="155">
        <v>0</v>
      </c>
      <c r="S188" s="155">
        <v>0</v>
      </c>
      <c r="T188" s="155">
        <v>0</v>
      </c>
      <c r="V188" s="72" t="s">
        <v>74</v>
      </c>
      <c r="W188" s="155"/>
      <c r="X188" s="155">
        <v>0</v>
      </c>
      <c r="Y188" s="155">
        <v>0</v>
      </c>
      <c r="Z188" s="155">
        <v>0</v>
      </c>
      <c r="AA188" s="155">
        <v>0</v>
      </c>
      <c r="AB188" s="155">
        <v>0</v>
      </c>
    </row>
    <row r="189" spans="2:28" ht="15.6">
      <c r="B189" s="72" t="s">
        <v>75</v>
      </c>
      <c r="C189" s="107">
        <v>-161</v>
      </c>
      <c r="D189" s="107">
        <v>-77</v>
      </c>
      <c r="E189" s="107">
        <v>-17</v>
      </c>
      <c r="F189" s="107">
        <v>-15</v>
      </c>
      <c r="G189" s="107">
        <v>0</v>
      </c>
      <c r="H189" s="107">
        <v>-22</v>
      </c>
      <c r="I189" s="107">
        <v>1</v>
      </c>
      <c r="J189" s="107">
        <v>0</v>
      </c>
      <c r="K189" s="107">
        <v>-1</v>
      </c>
      <c r="L189" s="107">
        <v>-3</v>
      </c>
      <c r="M189" s="107">
        <v>0</v>
      </c>
      <c r="N189" s="107">
        <v>-21</v>
      </c>
      <c r="O189" s="107">
        <v>54</v>
      </c>
      <c r="P189" s="155">
        <v>2</v>
      </c>
      <c r="Q189" s="155">
        <v>5</v>
      </c>
      <c r="R189" s="155">
        <v>1</v>
      </c>
      <c r="S189" s="155">
        <v>0.46403999999999979</v>
      </c>
      <c r="T189" s="155">
        <v>4</v>
      </c>
      <c r="V189" s="72" t="s">
        <v>75</v>
      </c>
      <c r="W189" s="155"/>
      <c r="X189" s="155">
        <v>0</v>
      </c>
      <c r="Y189" s="155">
        <v>0</v>
      </c>
      <c r="Z189" s="155">
        <v>0</v>
      </c>
      <c r="AA189" s="155">
        <v>0</v>
      </c>
      <c r="AB189" s="155">
        <v>0</v>
      </c>
    </row>
    <row r="190" spans="2:28" ht="15.6">
      <c r="B190" s="74" t="s">
        <v>76</v>
      </c>
      <c r="C190" s="109">
        <f t="shared" ref="C190:Q190" si="52">C185-C187+C188+C189</f>
        <v>8328</v>
      </c>
      <c r="D190" s="109">
        <f t="shared" si="52"/>
        <v>9521</v>
      </c>
      <c r="E190" s="109">
        <f t="shared" si="52"/>
        <v>2437</v>
      </c>
      <c r="F190" s="109">
        <f t="shared" si="52"/>
        <v>2744</v>
      </c>
      <c r="G190" s="109">
        <f t="shared" si="52"/>
        <v>2914</v>
      </c>
      <c r="H190" s="109">
        <f t="shared" si="52"/>
        <v>2933</v>
      </c>
      <c r="I190" s="109">
        <f t="shared" si="52"/>
        <v>3296</v>
      </c>
      <c r="J190" s="109">
        <f t="shared" si="52"/>
        <v>3373</v>
      </c>
      <c r="K190" s="109">
        <f t="shared" si="52"/>
        <v>2714</v>
      </c>
      <c r="L190" s="109">
        <f t="shared" si="52"/>
        <v>4458</v>
      </c>
      <c r="M190" s="109">
        <f t="shared" si="52"/>
        <v>2852</v>
      </c>
      <c r="N190" s="109">
        <f t="shared" si="52"/>
        <v>3029</v>
      </c>
      <c r="O190" s="109">
        <v>2098</v>
      </c>
      <c r="P190" s="289">
        <f t="shared" si="52"/>
        <v>2995</v>
      </c>
      <c r="Q190" s="289">
        <f t="shared" si="52"/>
        <v>5658</v>
      </c>
      <c r="R190" s="289">
        <v>5758</v>
      </c>
      <c r="S190" s="289">
        <v>4649.6459099999984</v>
      </c>
      <c r="T190" s="289">
        <f t="shared" ref="T190" si="53">T185-T187+T188+T189</f>
        <v>5190</v>
      </c>
      <c r="V190" s="74" t="s">
        <v>76</v>
      </c>
      <c r="W190" s="289">
        <f>+W185+W188+W189</f>
        <v>5452.14005</v>
      </c>
      <c r="X190" s="289">
        <v>5807.2811400000028</v>
      </c>
      <c r="Y190" s="289">
        <v>5668.8284499999982</v>
      </c>
      <c r="Z190" s="289">
        <f>+Z185+Z188+Z189</f>
        <v>5396.2559999999994</v>
      </c>
      <c r="AA190" s="289">
        <f>+AA185+AA188+AA189</f>
        <v>6025.3100899999999</v>
      </c>
      <c r="AB190" s="289">
        <f>+AB185+AB188+AB189</f>
        <v>5344.4064200000003</v>
      </c>
    </row>
    <row r="191" spans="2:28" ht="15.6">
      <c r="B191" s="72"/>
      <c r="C191" s="107"/>
      <c r="D191" s="107"/>
      <c r="E191" s="107"/>
      <c r="F191" s="107"/>
      <c r="G191" s="107"/>
      <c r="H191" s="107"/>
      <c r="I191" s="107"/>
      <c r="J191" s="107"/>
      <c r="K191" s="107"/>
      <c r="L191" s="107"/>
      <c r="M191" s="107"/>
      <c r="N191" s="107"/>
      <c r="O191" s="107"/>
      <c r="P191" s="155"/>
      <c r="Q191" s="155"/>
      <c r="R191" s="155"/>
      <c r="S191" s="155">
        <v>0</v>
      </c>
      <c r="T191" s="155"/>
      <c r="V191" s="72"/>
      <c r="W191" s="155"/>
      <c r="X191" s="155">
        <v>0</v>
      </c>
      <c r="Y191" s="155">
        <v>0</v>
      </c>
      <c r="Z191" s="155"/>
      <c r="AA191" s="155"/>
      <c r="AB191" s="155"/>
    </row>
    <row r="192" spans="2:28" ht="15.6">
      <c r="B192" s="72" t="s">
        <v>77</v>
      </c>
      <c r="C192" s="107">
        <v>-541</v>
      </c>
      <c r="D192" s="107">
        <v>-1453</v>
      </c>
      <c r="E192" s="107">
        <v>-355</v>
      </c>
      <c r="F192" s="107">
        <v>-399</v>
      </c>
      <c r="G192" s="107">
        <v>-365</v>
      </c>
      <c r="H192" s="107">
        <f>-1368-E192-F192+-G192</f>
        <v>-249</v>
      </c>
      <c r="I192" s="155">
        <v>-286</v>
      </c>
      <c r="J192" s="155">
        <v>-223</v>
      </c>
      <c r="K192" s="155">
        <v>-308</v>
      </c>
      <c r="L192" s="155">
        <v>-35</v>
      </c>
      <c r="M192" s="155">
        <v>-259</v>
      </c>
      <c r="N192" s="155">
        <v>-290</v>
      </c>
      <c r="O192" s="155">
        <v>-497</v>
      </c>
      <c r="P192" s="155">
        <v>863</v>
      </c>
      <c r="Q192" s="155">
        <v>-1072</v>
      </c>
      <c r="R192" s="155">
        <v>-1075</v>
      </c>
      <c r="S192" s="155">
        <v>-625.01675999999998</v>
      </c>
      <c r="T192" s="155">
        <v>-1741</v>
      </c>
      <c r="V192" s="72" t="s">
        <v>77</v>
      </c>
      <c r="W192" s="155">
        <v>-5520.816890000001</v>
      </c>
      <c r="X192" s="155">
        <v>-1906.485279999999</v>
      </c>
      <c r="Y192" s="155">
        <v>-2601.0129200000001</v>
      </c>
      <c r="Z192" s="155">
        <f>10028-11692</f>
        <v>-1664</v>
      </c>
      <c r="AA192" s="155">
        <v>-2313.1243599999998</v>
      </c>
      <c r="AB192" s="155">
        <v>-2183.7829299999994</v>
      </c>
    </row>
    <row r="193" spans="1:28" ht="15.6">
      <c r="B193" s="74" t="s">
        <v>78</v>
      </c>
      <c r="C193" s="109">
        <f>+C190+C192</f>
        <v>7787</v>
      </c>
      <c r="D193" s="109">
        <f t="shared" ref="D193:Q193" si="54">+D190+D192</f>
        <v>8068</v>
      </c>
      <c r="E193" s="109">
        <f t="shared" si="54"/>
        <v>2082</v>
      </c>
      <c r="F193" s="109">
        <f t="shared" si="54"/>
        <v>2345</v>
      </c>
      <c r="G193" s="109">
        <f t="shared" si="54"/>
        <v>2549</v>
      </c>
      <c r="H193" s="109">
        <f t="shared" si="54"/>
        <v>2684</v>
      </c>
      <c r="I193" s="109">
        <f t="shared" si="54"/>
        <v>3010</v>
      </c>
      <c r="J193" s="109">
        <f t="shared" si="54"/>
        <v>3150</v>
      </c>
      <c r="K193" s="109">
        <f t="shared" si="54"/>
        <v>2406</v>
      </c>
      <c r="L193" s="109">
        <f t="shared" si="54"/>
        <v>4423</v>
      </c>
      <c r="M193" s="109">
        <f t="shared" si="54"/>
        <v>2593</v>
      </c>
      <c r="N193" s="109">
        <f t="shared" si="54"/>
        <v>2739</v>
      </c>
      <c r="O193" s="109">
        <v>1601</v>
      </c>
      <c r="P193" s="289">
        <f t="shared" si="54"/>
        <v>3858</v>
      </c>
      <c r="Q193" s="289">
        <f t="shared" si="54"/>
        <v>4586</v>
      </c>
      <c r="R193" s="289">
        <v>4683</v>
      </c>
      <c r="S193" s="289">
        <v>4024.6291499999984</v>
      </c>
      <c r="T193" s="289">
        <f t="shared" ref="T193" si="55">+T190+T192</f>
        <v>3449</v>
      </c>
      <c r="V193" s="74" t="s">
        <v>78</v>
      </c>
      <c r="W193" s="289">
        <f>+W190+W192</f>
        <v>-68.676840000000993</v>
      </c>
      <c r="X193" s="289">
        <v>3900.7958600000038</v>
      </c>
      <c r="Y193" s="289">
        <v>3067.815529999998</v>
      </c>
      <c r="Z193" s="289">
        <f>+Z190+Z192</f>
        <v>3732.2559999999994</v>
      </c>
      <c r="AA193" s="289">
        <f>+AA190+AA192</f>
        <v>3712.1857300000001</v>
      </c>
      <c r="AB193" s="289">
        <f>+AB190+AB192</f>
        <v>3160.6234900000009</v>
      </c>
    </row>
    <row r="194" spans="1:28" ht="15.6">
      <c r="B194" s="71"/>
      <c r="C194" s="8"/>
      <c r="D194" s="8"/>
      <c r="E194" s="8"/>
      <c r="F194" s="8"/>
      <c r="G194" s="8"/>
      <c r="H194" s="8"/>
      <c r="I194" s="8"/>
      <c r="J194" s="8"/>
      <c r="K194" s="8"/>
      <c r="L194" s="8"/>
      <c r="M194" s="8"/>
      <c r="N194" s="8"/>
      <c r="O194" s="8"/>
      <c r="P194" s="153"/>
      <c r="Q194" s="153"/>
      <c r="R194" s="153"/>
      <c r="S194" s="153"/>
      <c r="T194" s="153"/>
      <c r="V194" s="71"/>
      <c r="W194" s="153"/>
      <c r="X194" s="153"/>
      <c r="Y194" s="153"/>
      <c r="Z194" s="153"/>
      <c r="AA194" s="153"/>
      <c r="AB194" s="153"/>
    </row>
    <row r="195" spans="1:28" ht="15.6">
      <c r="B195" s="72" t="s">
        <v>79</v>
      </c>
      <c r="C195" s="107">
        <v>1728</v>
      </c>
      <c r="D195" s="107">
        <v>2015</v>
      </c>
      <c r="E195" s="155">
        <v>456</v>
      </c>
      <c r="F195" s="155">
        <v>517</v>
      </c>
      <c r="G195" s="155">
        <v>701</v>
      </c>
      <c r="H195" s="155">
        <v>558</v>
      </c>
      <c r="I195" s="107">
        <v>666</v>
      </c>
      <c r="J195" s="107">
        <v>742</v>
      </c>
      <c r="K195" s="107">
        <v>528</v>
      </c>
      <c r="L195" s="107">
        <v>959</v>
      </c>
      <c r="M195" s="155">
        <v>570</v>
      </c>
      <c r="N195" s="155">
        <v>679</v>
      </c>
      <c r="O195" s="155">
        <v>255</v>
      </c>
      <c r="P195" s="155">
        <v>449</v>
      </c>
      <c r="Q195" s="155">
        <v>1009</v>
      </c>
      <c r="R195" s="155">
        <v>1060</v>
      </c>
      <c r="S195" s="155">
        <v>901.42270999999982</v>
      </c>
      <c r="T195" s="155">
        <v>752</v>
      </c>
      <c r="V195" s="72" t="s">
        <v>79</v>
      </c>
      <c r="W195" s="155">
        <v>586.40122999999994</v>
      </c>
      <c r="X195" s="155">
        <v>209.41186000000016</v>
      </c>
      <c r="Y195" s="155">
        <v>1048.6191899999999</v>
      </c>
      <c r="Z195" s="155">
        <f>-1844-2505</f>
        <v>-4349</v>
      </c>
      <c r="AA195" s="155">
        <v>-862.90866000000005</v>
      </c>
      <c r="AB195" s="155">
        <v>-675.4408699999999</v>
      </c>
    </row>
    <row r="196" spans="1:28" ht="15.6">
      <c r="B196" s="74" t="s">
        <v>82</v>
      </c>
      <c r="C196" s="109">
        <f>+C193-C195</f>
        <v>6059</v>
      </c>
      <c r="D196" s="109">
        <f t="shared" ref="D196:Q196" si="56">+D193-D195</f>
        <v>6053</v>
      </c>
      <c r="E196" s="109">
        <f t="shared" si="56"/>
        <v>1626</v>
      </c>
      <c r="F196" s="109">
        <f t="shared" si="56"/>
        <v>1828</v>
      </c>
      <c r="G196" s="109">
        <f t="shared" si="56"/>
        <v>1848</v>
      </c>
      <c r="H196" s="109">
        <f t="shared" si="56"/>
        <v>2126</v>
      </c>
      <c r="I196" s="109">
        <f t="shared" si="56"/>
        <v>2344</v>
      </c>
      <c r="J196" s="109">
        <f t="shared" si="56"/>
        <v>2408</v>
      </c>
      <c r="K196" s="109">
        <f t="shared" si="56"/>
        <v>1878</v>
      </c>
      <c r="L196" s="109">
        <f t="shared" si="56"/>
        <v>3464</v>
      </c>
      <c r="M196" s="109">
        <f t="shared" si="56"/>
        <v>2023</v>
      </c>
      <c r="N196" s="109">
        <f t="shared" si="56"/>
        <v>2060</v>
      </c>
      <c r="O196" s="109">
        <v>1346</v>
      </c>
      <c r="P196" s="289">
        <f t="shared" si="56"/>
        <v>3409</v>
      </c>
      <c r="Q196" s="289">
        <f t="shared" si="56"/>
        <v>3577</v>
      </c>
      <c r="R196" s="289">
        <v>3623</v>
      </c>
      <c r="S196" s="289">
        <v>3123.2064399999986</v>
      </c>
      <c r="T196" s="289">
        <f t="shared" ref="T196" si="57">+T193-T195</f>
        <v>2697</v>
      </c>
      <c r="V196" s="74" t="s">
        <v>82</v>
      </c>
      <c r="W196" s="289">
        <f>+W193-W195</f>
        <v>-655.07807000000093</v>
      </c>
      <c r="X196" s="289">
        <v>3691.3840000000037</v>
      </c>
      <c r="Y196" s="289">
        <v>2019.1963399999981</v>
      </c>
      <c r="Z196" s="289">
        <f t="shared" ref="Z196:AA196" si="58">+Z193+Z195</f>
        <v>-616.7440000000006</v>
      </c>
      <c r="AA196" s="289">
        <f t="shared" si="58"/>
        <v>2849.2770700000001</v>
      </c>
      <c r="AB196" s="289">
        <v>2485.182620000001</v>
      </c>
    </row>
    <row r="197" spans="1:28" ht="15.6">
      <c r="B197" s="131"/>
      <c r="C197" s="138"/>
      <c r="D197" s="138"/>
      <c r="E197" s="138"/>
      <c r="F197" s="138"/>
      <c r="G197" s="138"/>
      <c r="H197" s="138"/>
      <c r="I197" s="138"/>
      <c r="J197" s="138"/>
      <c r="K197" s="138"/>
      <c r="L197" s="138"/>
      <c r="M197" s="138"/>
      <c r="N197" s="138"/>
      <c r="O197" s="138"/>
      <c r="P197" s="157"/>
      <c r="Q197" s="157"/>
      <c r="R197" s="157"/>
      <c r="S197" s="157"/>
    </row>
    <row r="198" spans="1:28" ht="15.6">
      <c r="B198" s="132"/>
      <c r="C198" s="132"/>
      <c r="D198" s="132"/>
      <c r="E198" s="160"/>
      <c r="F198" s="160"/>
      <c r="G198" s="160"/>
      <c r="H198" s="160"/>
      <c r="I198" s="132"/>
      <c r="J198" s="132"/>
      <c r="K198" s="132"/>
      <c r="L198" s="132"/>
      <c r="M198" s="132"/>
      <c r="N198" s="132"/>
      <c r="O198" s="132"/>
      <c r="P198" s="132"/>
      <c r="Q198" s="132"/>
      <c r="R198" s="132"/>
      <c r="S198" s="132"/>
    </row>
    <row r="199" spans="1:28" ht="15.6">
      <c r="A199" s="48" t="s">
        <v>137</v>
      </c>
      <c r="B199" s="11" t="s">
        <v>434</v>
      </c>
      <c r="C199" s="29"/>
      <c r="D199" s="29"/>
      <c r="E199" s="30"/>
      <c r="F199" s="29"/>
      <c r="G199" s="29"/>
      <c r="H199" s="29"/>
      <c r="I199" s="30"/>
      <c r="J199" s="29"/>
      <c r="K199" s="29"/>
      <c r="L199" s="29"/>
      <c r="M199" s="30"/>
      <c r="N199" s="29"/>
      <c r="O199" s="29"/>
      <c r="P199" s="29"/>
      <c r="Q199" s="29"/>
      <c r="R199" s="29"/>
      <c r="S199" s="29"/>
      <c r="V199" s="74" t="s">
        <v>84</v>
      </c>
      <c r="W199" s="289">
        <v>6728.4679999999998</v>
      </c>
      <c r="X199" s="289">
        <v>6975.3852700000025</v>
      </c>
      <c r="Y199" s="289">
        <v>6770.4477999999981</v>
      </c>
      <c r="Z199" s="289">
        <f>+Z185+Z184</f>
        <v>6749.2559999999994</v>
      </c>
      <c r="AA199" s="289">
        <f>+AA185+AA184</f>
        <v>7243.3704600000001</v>
      </c>
      <c r="AB199" s="289">
        <v>6564.9789900000005</v>
      </c>
    </row>
    <row r="200" spans="1:28" ht="15.6">
      <c r="B200" s="252" t="s">
        <v>39</v>
      </c>
      <c r="C200" s="132"/>
      <c r="D200" s="132"/>
      <c r="E200" s="132"/>
      <c r="F200" s="132"/>
      <c r="G200" s="132"/>
      <c r="H200" s="132"/>
      <c r="I200" s="132"/>
      <c r="J200" s="132"/>
      <c r="K200" s="132"/>
      <c r="L200" s="132"/>
      <c r="M200" s="132"/>
      <c r="N200" s="132"/>
      <c r="O200" s="132"/>
      <c r="P200" s="132"/>
      <c r="Q200" s="132"/>
      <c r="R200" s="132"/>
      <c r="S200" s="132"/>
    </row>
    <row r="201" spans="1:28" ht="15.6" thickBot="1">
      <c r="B201" s="250"/>
      <c r="C201" s="251">
        <v>2016</v>
      </c>
      <c r="D201" s="251">
        <v>2017</v>
      </c>
      <c r="E201" s="251" t="s">
        <v>40</v>
      </c>
      <c r="F201" s="251" t="s">
        <v>41</v>
      </c>
      <c r="G201" s="251" t="s">
        <v>42</v>
      </c>
      <c r="H201" s="251" t="s">
        <v>43</v>
      </c>
      <c r="I201" s="251" t="s">
        <v>44</v>
      </c>
      <c r="J201" s="251" t="s">
        <v>45</v>
      </c>
      <c r="K201" s="251" t="s">
        <v>46</v>
      </c>
      <c r="L201" s="251" t="s">
        <v>47</v>
      </c>
      <c r="M201" s="251" t="s">
        <v>48</v>
      </c>
      <c r="N201" s="251" t="s">
        <v>49</v>
      </c>
      <c r="O201" s="251" t="s">
        <v>50</v>
      </c>
      <c r="P201" s="251" t="s">
        <v>51</v>
      </c>
      <c r="Q201" s="251" t="s">
        <v>52</v>
      </c>
      <c r="R201" s="251" t="s">
        <v>53</v>
      </c>
      <c r="S201" s="251" t="s">
        <v>54</v>
      </c>
      <c r="T201" s="251" t="s">
        <v>55</v>
      </c>
      <c r="V201" s="250"/>
      <c r="W201" s="251" t="s">
        <v>87</v>
      </c>
      <c r="X201" s="251" t="s">
        <v>56</v>
      </c>
      <c r="Y201" s="251" t="s">
        <v>57</v>
      </c>
      <c r="Z201" s="251" t="s">
        <v>1154</v>
      </c>
      <c r="AA201" s="251" t="str">
        <f>+AA7</f>
        <v>1T23</v>
      </c>
      <c r="AB201" s="251" t="s">
        <v>1207</v>
      </c>
    </row>
    <row r="202" spans="1:28" ht="15.6" thickBot="1">
      <c r="B202" s="113" t="s">
        <v>88</v>
      </c>
      <c r="C202" s="114"/>
      <c r="D202" s="114"/>
      <c r="E202" s="114"/>
      <c r="F202" s="114"/>
      <c r="G202" s="114"/>
      <c r="H202" s="114"/>
      <c r="I202" s="114"/>
      <c r="J202" s="114"/>
      <c r="K202" s="114"/>
      <c r="L202" s="114"/>
      <c r="M202" s="114"/>
      <c r="N202" s="114"/>
      <c r="O202" s="114"/>
      <c r="P202" s="114"/>
      <c r="Q202" s="114"/>
      <c r="R202" s="114"/>
      <c r="S202" s="114"/>
      <c r="T202" s="114"/>
      <c r="V202" s="113" t="s">
        <v>88</v>
      </c>
      <c r="W202" s="114"/>
      <c r="X202" s="114"/>
      <c r="Y202" s="114"/>
      <c r="Z202" s="114"/>
      <c r="AA202" s="114"/>
      <c r="AB202" s="114"/>
    </row>
    <row r="203" spans="1:28" ht="15.6" thickBot="1">
      <c r="B203" s="115" t="s">
        <v>89</v>
      </c>
      <c r="C203" s="116"/>
      <c r="D203" s="116"/>
      <c r="E203" s="116"/>
      <c r="F203" s="116"/>
      <c r="G203" s="116"/>
      <c r="H203" s="116"/>
      <c r="I203" s="116"/>
      <c r="J203" s="116"/>
      <c r="K203" s="116"/>
      <c r="L203" s="116"/>
      <c r="M203" s="116"/>
      <c r="N203" s="116"/>
      <c r="O203" s="116"/>
      <c r="P203" s="116"/>
      <c r="Q203" s="116"/>
      <c r="R203" s="116"/>
      <c r="S203" s="116"/>
      <c r="T203" s="116"/>
      <c r="V203" s="115" t="s">
        <v>89</v>
      </c>
      <c r="W203" s="116"/>
      <c r="X203" s="116"/>
      <c r="Y203" s="116"/>
      <c r="Z203" s="116"/>
      <c r="AA203" s="116"/>
      <c r="AB203" s="116"/>
    </row>
    <row r="204" spans="1:28" ht="16.2" thickBot="1">
      <c r="B204" s="117" t="s">
        <v>435</v>
      </c>
      <c r="C204" s="106">
        <v>4811.0870000000004</v>
      </c>
      <c r="D204" s="106">
        <v>7632.4707900000003</v>
      </c>
      <c r="E204" s="106">
        <v>2960.3437300000001</v>
      </c>
      <c r="F204" s="106">
        <v>4209.6983300000002</v>
      </c>
      <c r="G204" s="106">
        <v>5845.4695499999998</v>
      </c>
      <c r="H204" s="106">
        <v>6241.0284299999994</v>
      </c>
      <c r="I204" s="106">
        <v>4340.3495800000001</v>
      </c>
      <c r="J204" s="106">
        <v>0</v>
      </c>
      <c r="K204" s="106">
        <v>820.54024000000004</v>
      </c>
      <c r="L204" s="106">
        <v>4524.85167</v>
      </c>
      <c r="M204" s="106">
        <v>6892.5769099999998</v>
      </c>
      <c r="N204" s="106">
        <v>2431.4656600000003</v>
      </c>
      <c r="O204" s="106">
        <v>2740</v>
      </c>
      <c r="P204" s="290">
        <v>1225</v>
      </c>
      <c r="Q204" s="290">
        <v>2886</v>
      </c>
      <c r="R204" s="290">
        <v>2455</v>
      </c>
      <c r="S204" s="290">
        <v>3020.46731</v>
      </c>
      <c r="T204" s="290">
        <v>4206</v>
      </c>
      <c r="V204" s="117" t="s">
        <v>435</v>
      </c>
      <c r="W204" s="290">
        <v>2894.2209700000003</v>
      </c>
      <c r="X204" s="290">
        <v>7301.9430499999999</v>
      </c>
      <c r="Y204" s="290">
        <v>10438.90957</v>
      </c>
      <c r="Z204" s="290">
        <v>5479.5487699999994</v>
      </c>
      <c r="AA204" s="290">
        <v>4314.9927099999995</v>
      </c>
      <c r="AB204" s="290">
        <v>5357.0709999999999</v>
      </c>
    </row>
    <row r="205" spans="1:28" ht="16.2" thickBot="1">
      <c r="B205" s="117" t="s">
        <v>436</v>
      </c>
      <c r="C205" s="106">
        <v>1794.2190000000001</v>
      </c>
      <c r="D205" s="106">
        <v>1689.6590000000001</v>
      </c>
      <c r="E205" s="106">
        <v>1757.05223</v>
      </c>
      <c r="F205" s="106">
        <v>2214.33592</v>
      </c>
      <c r="G205" s="106">
        <v>2150.4177799999998</v>
      </c>
      <c r="H205" s="106">
        <v>2119.5779400000001</v>
      </c>
      <c r="I205" s="106">
        <v>2170.3915000000002</v>
      </c>
      <c r="J205" s="106">
        <v>2461.7483900000002</v>
      </c>
      <c r="K205" s="106">
        <v>1860.9651399999998</v>
      </c>
      <c r="L205" s="106">
        <v>1303.0773200000001</v>
      </c>
      <c r="M205" s="106">
        <v>1222.0773200000001</v>
      </c>
      <c r="N205" s="106">
        <v>1601.5922399999999</v>
      </c>
      <c r="O205" s="106">
        <v>1589</v>
      </c>
      <c r="P205" s="290">
        <v>1419</v>
      </c>
      <c r="Q205" s="290">
        <v>2723</v>
      </c>
      <c r="R205" s="290">
        <v>3414</v>
      </c>
      <c r="S205" s="290">
        <v>3716.7065499999999</v>
      </c>
      <c r="T205" s="290">
        <v>3516</v>
      </c>
      <c r="V205" s="117" t="s">
        <v>436</v>
      </c>
      <c r="W205" s="290">
        <v>4000.8615099999997</v>
      </c>
      <c r="X205" s="290">
        <v>4444.4146600000004</v>
      </c>
      <c r="Y205" s="290">
        <v>2597.73407</v>
      </c>
      <c r="Z205" s="290">
        <v>3227.6246700000002</v>
      </c>
      <c r="AA205" s="290">
        <v>3064.1500799999999</v>
      </c>
      <c r="AB205" s="290">
        <v>2613.6759999999999</v>
      </c>
    </row>
    <row r="206" spans="1:28" ht="16.2" thickBot="1">
      <c r="B206" s="117" t="s">
        <v>437</v>
      </c>
      <c r="C206" s="106">
        <v>1525.7124199999998</v>
      </c>
      <c r="D206" s="106">
        <v>26.759</v>
      </c>
      <c r="E206" s="106">
        <v>1407.26495</v>
      </c>
      <c r="F206" s="106">
        <v>26.091549999999998</v>
      </c>
      <c r="G206" s="106">
        <v>98.800350000000009</v>
      </c>
      <c r="H206" s="106">
        <v>94.047300000000007</v>
      </c>
      <c r="I206" s="106">
        <v>101.66050999999999</v>
      </c>
      <c r="J206" s="106">
        <v>85.848479999999995</v>
      </c>
      <c r="K206" s="106">
        <v>63.200269999999996</v>
      </c>
      <c r="L206" s="106">
        <v>74.429369999999992</v>
      </c>
      <c r="M206" s="106">
        <v>68.628219999999999</v>
      </c>
      <c r="N206" s="106">
        <v>147.84021999999999</v>
      </c>
      <c r="O206" s="106">
        <v>218</v>
      </c>
      <c r="P206" s="290">
        <v>204</v>
      </c>
      <c r="Q206" s="290">
        <v>303</v>
      </c>
      <c r="R206" s="290">
        <v>290</v>
      </c>
      <c r="S206" s="290">
        <v>136.37515999999999</v>
      </c>
      <c r="T206" s="290">
        <v>121</v>
      </c>
      <c r="V206" s="117" t="s">
        <v>437</v>
      </c>
      <c r="W206" s="290">
        <v>125.93649000000001</v>
      </c>
      <c r="X206" s="290">
        <v>215.61842000000001</v>
      </c>
      <c r="Y206" s="290">
        <v>126.97026</v>
      </c>
      <c r="Z206" s="290">
        <v>123.26940999999992</v>
      </c>
      <c r="AA206" s="290">
        <v>518.54822999999999</v>
      </c>
      <c r="AB206" s="290">
        <v>132.85599999999999</v>
      </c>
    </row>
    <row r="207" spans="1:28" ht="16.2" thickBot="1">
      <c r="B207" s="117" t="s">
        <v>438</v>
      </c>
      <c r="C207" s="106">
        <v>1.4590000000000001</v>
      </c>
      <c r="D207" s="106">
        <v>0</v>
      </c>
      <c r="E207" s="106">
        <v>0.50731000000000004</v>
      </c>
      <c r="F207" s="106">
        <v>0</v>
      </c>
      <c r="G207" s="106">
        <v>0</v>
      </c>
      <c r="H207" s="106">
        <v>0</v>
      </c>
      <c r="I207" s="106">
        <v>0</v>
      </c>
      <c r="J207" s="106">
        <v>5.6841999999999997</v>
      </c>
      <c r="K207" s="106">
        <v>5.1675300000000002</v>
      </c>
      <c r="L207" s="106">
        <v>14.872110000000001</v>
      </c>
      <c r="M207" s="106">
        <v>-3.1183400000000003</v>
      </c>
      <c r="N207" s="106">
        <v>7.8630800000000001</v>
      </c>
      <c r="O207" s="106">
        <v>10</v>
      </c>
      <c r="P207" s="290">
        <v>19</v>
      </c>
      <c r="Q207" s="290">
        <v>3</v>
      </c>
      <c r="R207" s="290">
        <v>2</v>
      </c>
      <c r="S207" s="290">
        <v>8.4405599999999996</v>
      </c>
      <c r="T207" s="290">
        <v>8</v>
      </c>
      <c r="V207" s="117" t="s">
        <v>438</v>
      </c>
      <c r="W207" s="290">
        <v>29.35829</v>
      </c>
      <c r="X207" s="290">
        <v>0.11179</v>
      </c>
      <c r="Y207" s="290">
        <v>24</v>
      </c>
      <c r="Z207" s="290">
        <v>31.117540000000002</v>
      </c>
      <c r="AA207" s="290">
        <v>42.59187</v>
      </c>
      <c r="AB207" s="290">
        <v>37.387</v>
      </c>
    </row>
    <row r="208" spans="1:28" ht="16.2" thickBot="1">
      <c r="B208" s="117" t="s">
        <v>391</v>
      </c>
      <c r="C208" s="106">
        <v>1129.095</v>
      </c>
      <c r="D208" s="106">
        <v>1147.7450800000001</v>
      </c>
      <c r="E208" s="106">
        <v>1158.82708</v>
      </c>
      <c r="F208" s="106">
        <v>1204.0717099999999</v>
      </c>
      <c r="G208" s="106">
        <v>1224.7464299999999</v>
      </c>
      <c r="H208" s="106">
        <v>1335.0415600000001</v>
      </c>
      <c r="I208" s="106">
        <v>1327.07656</v>
      </c>
      <c r="J208" s="106">
        <v>1327.07656</v>
      </c>
      <c r="K208" s="106">
        <v>1323.5245300000001</v>
      </c>
      <c r="L208" s="106">
        <v>1204.7401599999998</v>
      </c>
      <c r="M208" s="106">
        <v>1204.7401599999998</v>
      </c>
      <c r="N208" s="106">
        <v>1194.7401599999998</v>
      </c>
      <c r="O208" s="106">
        <v>1195</v>
      </c>
      <c r="P208" s="290">
        <v>1169</v>
      </c>
      <c r="Q208" s="290">
        <v>1569</v>
      </c>
      <c r="R208" s="290">
        <v>1541</v>
      </c>
      <c r="S208" s="290">
        <v>1543.00649</v>
      </c>
      <c r="T208" s="290">
        <v>1830</v>
      </c>
      <c r="V208" s="117" t="s">
        <v>391</v>
      </c>
      <c r="W208" s="290">
        <v>1804.62805</v>
      </c>
      <c r="X208" s="290">
        <v>1825.3648400000002</v>
      </c>
      <c r="Y208" s="290">
        <v>2067.0121899999999</v>
      </c>
      <c r="Z208" s="290">
        <v>1859.4730900000002</v>
      </c>
      <c r="AA208" s="290">
        <v>2373.2204100000004</v>
      </c>
      <c r="AB208" s="290">
        <v>2394.9430000000002</v>
      </c>
    </row>
    <row r="209" spans="2:28" ht="16.2" thickBot="1">
      <c r="B209" s="117" t="s">
        <v>439</v>
      </c>
      <c r="C209" s="106">
        <v>36.016580000000005</v>
      </c>
      <c r="D209" s="106">
        <v>0</v>
      </c>
      <c r="E209" s="106">
        <v>0</v>
      </c>
      <c r="F209" s="106">
        <v>0</v>
      </c>
      <c r="G209" s="106">
        <v>0</v>
      </c>
      <c r="H209" s="106">
        <v>0</v>
      </c>
      <c r="I209" s="106">
        <v>0</v>
      </c>
      <c r="J209" s="106">
        <v>0</v>
      </c>
      <c r="K209" s="106">
        <v>0</v>
      </c>
      <c r="L209" s="106">
        <v>0</v>
      </c>
      <c r="M209" s="106">
        <v>0</v>
      </c>
      <c r="N209" s="106">
        <v>0</v>
      </c>
      <c r="O209" s="106">
        <v>0</v>
      </c>
      <c r="P209" s="290">
        <v>0</v>
      </c>
      <c r="Q209" s="290">
        <v>151</v>
      </c>
      <c r="R209" s="290">
        <v>0</v>
      </c>
      <c r="S209" s="290">
        <v>0</v>
      </c>
      <c r="T209" s="290">
        <v>0</v>
      </c>
      <c r="V209" s="117" t="s">
        <v>439</v>
      </c>
      <c r="W209" s="290">
        <v>0</v>
      </c>
      <c r="X209" s="290">
        <v>0</v>
      </c>
      <c r="Y209" s="290">
        <v>0</v>
      </c>
      <c r="Z209" s="290">
        <v>905.95204000000001</v>
      </c>
      <c r="AA209" s="290">
        <v>954.51674000000003</v>
      </c>
      <c r="AB209" s="290">
        <v>612.38499999999999</v>
      </c>
    </row>
    <row r="210" spans="2:28" ht="16.2" thickBot="1">
      <c r="B210" s="117" t="s">
        <v>440</v>
      </c>
      <c r="C210" s="106">
        <v>3.9380000000000002</v>
      </c>
      <c r="D210" s="106">
        <v>79.573170000000005</v>
      </c>
      <c r="E210" s="106">
        <v>18.140130000000003</v>
      </c>
      <c r="F210" s="106">
        <v>8.1252899999999997</v>
      </c>
      <c r="G210" s="106">
        <v>189.06744</v>
      </c>
      <c r="H210" s="106">
        <v>155.42836</v>
      </c>
      <c r="I210" s="106">
        <v>122.40894</v>
      </c>
      <c r="J210" s="106">
        <v>81.904800000000009</v>
      </c>
      <c r="K210" s="106">
        <v>42.55077</v>
      </c>
      <c r="L210" s="106">
        <v>35.402749999999997</v>
      </c>
      <c r="M210" s="106">
        <v>187.86411999999999</v>
      </c>
      <c r="N210" s="106">
        <v>145.20313000000002</v>
      </c>
      <c r="O210" s="106">
        <v>97</v>
      </c>
      <c r="P210" s="290">
        <v>117</v>
      </c>
      <c r="Q210" s="290">
        <v>1948</v>
      </c>
      <c r="R210" s="290">
        <v>0</v>
      </c>
      <c r="S210" s="290">
        <v>353.28140000000002</v>
      </c>
      <c r="T210" s="290">
        <v>309</v>
      </c>
      <c r="V210" s="117" t="s">
        <v>440</v>
      </c>
      <c r="W210" s="290">
        <v>168.48071999999999</v>
      </c>
      <c r="X210" s="290">
        <v>438.09733</v>
      </c>
      <c r="Y210" s="290">
        <v>288.40713</v>
      </c>
      <c r="Z210" s="290">
        <v>0</v>
      </c>
      <c r="AA210" s="290"/>
      <c r="AB210" s="290">
        <v>0</v>
      </c>
    </row>
    <row r="211" spans="2:28" ht="16.2" thickBot="1">
      <c r="B211" s="184" t="s">
        <v>166</v>
      </c>
      <c r="C211" s="99">
        <v>0</v>
      </c>
      <c r="D211" s="99">
        <v>0</v>
      </c>
      <c r="E211" s="99">
        <v>0</v>
      </c>
      <c r="F211" s="99">
        <v>0</v>
      </c>
      <c r="G211" s="99">
        <v>0</v>
      </c>
      <c r="H211" s="99">
        <v>0</v>
      </c>
      <c r="I211" s="99">
        <v>0</v>
      </c>
      <c r="J211" s="99">
        <v>0</v>
      </c>
      <c r="K211" s="99">
        <v>0</v>
      </c>
      <c r="L211" s="99">
        <v>0</v>
      </c>
      <c r="M211" s="99">
        <v>0</v>
      </c>
      <c r="N211" s="99">
        <v>0</v>
      </c>
      <c r="O211" s="99">
        <v>0</v>
      </c>
      <c r="P211" s="291">
        <v>3342</v>
      </c>
      <c r="Q211" s="291">
        <v>113</v>
      </c>
      <c r="R211" s="291">
        <v>72</v>
      </c>
      <c r="S211" s="291">
        <v>0</v>
      </c>
      <c r="T211" s="291">
        <v>0</v>
      </c>
      <c r="V211" s="184" t="s">
        <v>166</v>
      </c>
      <c r="W211" s="291">
        <v>0</v>
      </c>
      <c r="X211" s="291">
        <v>0</v>
      </c>
      <c r="Y211" s="291">
        <v>0</v>
      </c>
      <c r="Z211" s="291">
        <v>80.980919999999998</v>
      </c>
      <c r="AA211" s="291">
        <v>387.06169</v>
      </c>
      <c r="AB211" s="291">
        <v>570.42200000000003</v>
      </c>
    </row>
    <row r="212" spans="2:28" ht="15.6" thickBot="1">
      <c r="B212" s="161" t="s">
        <v>96</v>
      </c>
      <c r="C212" s="140">
        <f>+SUM(C204:C211)</f>
        <v>9301.527</v>
      </c>
      <c r="D212" s="140">
        <f t="shared" ref="D212:R212" si="59">+SUM(D204:D211)</f>
        <v>10576.207040000001</v>
      </c>
      <c r="E212" s="140">
        <f t="shared" si="59"/>
        <v>7302.1354299999994</v>
      </c>
      <c r="F212" s="140">
        <f t="shared" si="59"/>
        <v>7662.3228000000008</v>
      </c>
      <c r="G212" s="140">
        <f t="shared" si="59"/>
        <v>9508.5015500000009</v>
      </c>
      <c r="H212" s="140">
        <f t="shared" si="59"/>
        <v>9945.1235899999992</v>
      </c>
      <c r="I212" s="140">
        <f t="shared" si="59"/>
        <v>8061.8870899999993</v>
      </c>
      <c r="J212" s="140">
        <f t="shared" si="59"/>
        <v>3962.2624300000002</v>
      </c>
      <c r="K212" s="140">
        <f t="shared" si="59"/>
        <v>4115.94848</v>
      </c>
      <c r="L212" s="140">
        <f t="shared" si="59"/>
        <v>7157.37338</v>
      </c>
      <c r="M212" s="140">
        <f t="shared" si="59"/>
        <v>9572.7683899999993</v>
      </c>
      <c r="N212" s="140">
        <f t="shared" si="59"/>
        <v>5528.7044900000001</v>
      </c>
      <c r="O212" s="140">
        <f t="shared" si="59"/>
        <v>5849</v>
      </c>
      <c r="P212" s="140">
        <f t="shared" si="59"/>
        <v>7495</v>
      </c>
      <c r="Q212" s="140">
        <f t="shared" si="59"/>
        <v>9696</v>
      </c>
      <c r="R212" s="140">
        <f t="shared" si="59"/>
        <v>7774</v>
      </c>
      <c r="S212" s="140">
        <v>8778.2774699999991</v>
      </c>
      <c r="T212" s="140">
        <f>SUM(T204:T211)</f>
        <v>9990</v>
      </c>
      <c r="V212" s="161" t="s">
        <v>96</v>
      </c>
      <c r="W212" s="140">
        <v>9023.48603</v>
      </c>
      <c r="X212" s="140">
        <v>14225.550090000002</v>
      </c>
      <c r="Y212" s="140">
        <v>15543.033219999999</v>
      </c>
      <c r="Z212" s="140">
        <f>+SUM(Z204:Z211)</f>
        <v>11707.966439999998</v>
      </c>
      <c r="AA212" s="140">
        <f>+SUM(AA204:AA211)</f>
        <v>11655.08173</v>
      </c>
      <c r="AB212" s="140">
        <v>11718.74</v>
      </c>
    </row>
    <row r="213" spans="2:28" ht="15.6" thickBot="1">
      <c r="B213" s="162" t="s">
        <v>97</v>
      </c>
      <c r="C213" s="139"/>
      <c r="D213" s="139"/>
      <c r="E213" s="139"/>
      <c r="F213" s="139"/>
      <c r="G213" s="139"/>
      <c r="H213" s="139"/>
      <c r="I213" s="139"/>
      <c r="J213" s="139"/>
      <c r="K213" s="139"/>
      <c r="L213" s="139"/>
      <c r="M213" s="139"/>
      <c r="N213" s="139"/>
      <c r="O213" s="139"/>
      <c r="P213" s="139"/>
      <c r="Q213" s="139"/>
      <c r="R213" s="139"/>
      <c r="S213" s="139"/>
      <c r="T213" s="139"/>
      <c r="V213" s="162" t="s">
        <v>97</v>
      </c>
      <c r="W213" s="139"/>
      <c r="X213" s="139"/>
      <c r="Y213" s="139"/>
      <c r="Z213" s="139"/>
      <c r="AA213" s="139"/>
      <c r="AB213" s="139"/>
    </row>
    <row r="214" spans="2:28" ht="16.2" thickBot="1">
      <c r="B214" s="117" t="s">
        <v>441</v>
      </c>
      <c r="C214" s="106"/>
      <c r="D214" s="106"/>
      <c r="E214" s="106"/>
      <c r="F214" s="106"/>
      <c r="G214" s="106"/>
      <c r="H214" s="106"/>
      <c r="I214" s="106"/>
      <c r="J214" s="106"/>
      <c r="K214" s="106"/>
      <c r="L214" s="106">
        <v>0</v>
      </c>
      <c r="M214" s="106">
        <v>0</v>
      </c>
      <c r="N214" s="163">
        <v>0</v>
      </c>
      <c r="O214" s="163">
        <v>0</v>
      </c>
      <c r="P214" s="292">
        <v>0</v>
      </c>
      <c r="Q214" s="292">
        <v>0</v>
      </c>
      <c r="R214" s="292">
        <v>0</v>
      </c>
      <c r="S214" s="292">
        <v>0</v>
      </c>
      <c r="T214" s="292">
        <v>0</v>
      </c>
      <c r="V214" s="117" t="s">
        <v>441</v>
      </c>
      <c r="W214" s="292">
        <v>0</v>
      </c>
      <c r="X214" s="292">
        <v>0</v>
      </c>
      <c r="Y214" s="292">
        <v>0</v>
      </c>
      <c r="Z214" s="292"/>
      <c r="AA214" s="292"/>
      <c r="AB214" s="292"/>
    </row>
    <row r="215" spans="2:28" s="36" customFormat="1" ht="16.2" thickBot="1">
      <c r="B215" s="180" t="s">
        <v>442</v>
      </c>
      <c r="C215" s="181">
        <v>703</v>
      </c>
      <c r="D215" s="181">
        <v>223766</v>
      </c>
      <c r="E215" s="181">
        <v>178545</v>
      </c>
      <c r="F215" s="181">
        <v>169563</v>
      </c>
      <c r="G215" s="181">
        <v>170979</v>
      </c>
      <c r="H215" s="181">
        <v>144942</v>
      </c>
      <c r="I215" s="181">
        <v>134420</v>
      </c>
      <c r="J215" s="181">
        <v>123710</v>
      </c>
      <c r="K215" s="181">
        <v>100456</v>
      </c>
      <c r="L215" s="181">
        <v>133484</v>
      </c>
      <c r="M215" s="181">
        <v>129849</v>
      </c>
      <c r="N215" s="181">
        <v>162269</v>
      </c>
      <c r="O215" s="181">
        <v>158463</v>
      </c>
      <c r="P215" s="181">
        <v>160069</v>
      </c>
      <c r="Q215" s="181">
        <v>0</v>
      </c>
      <c r="R215" s="181">
        <v>0</v>
      </c>
      <c r="S215" s="181">
        <v>0.16400000000000001</v>
      </c>
      <c r="T215" s="518"/>
      <c r="V215" s="180" t="s">
        <v>442</v>
      </c>
      <c r="W215" s="518">
        <v>0.17399999999999999</v>
      </c>
      <c r="X215" s="518">
        <v>0</v>
      </c>
      <c r="Y215" s="518">
        <v>0.14199999999999999</v>
      </c>
      <c r="Z215" s="518">
        <v>0.14399999999999999</v>
      </c>
      <c r="AA215" s="518">
        <v>0.19800000000000001</v>
      </c>
      <c r="AB215" s="518">
        <v>0.16700000000000001</v>
      </c>
    </row>
    <row r="216" spans="2:28" ht="16.2" thickBot="1">
      <c r="B216" s="117" t="s">
        <v>443</v>
      </c>
      <c r="C216" s="106">
        <v>49.704000000000001</v>
      </c>
      <c r="D216" s="106">
        <v>47.05189</v>
      </c>
      <c r="E216" s="106">
        <v>46.38879</v>
      </c>
      <c r="F216" s="106">
        <v>45.725699999999996</v>
      </c>
      <c r="G216" s="106">
        <v>45.062609999999999</v>
      </c>
      <c r="H216" s="106">
        <v>44.399519999999995</v>
      </c>
      <c r="I216" s="106">
        <v>43.736419999999995</v>
      </c>
      <c r="J216" s="106">
        <v>43.073329999999999</v>
      </c>
      <c r="K216" s="106">
        <v>42.410239999999995</v>
      </c>
      <c r="L216" s="106">
        <v>52.997150000000005</v>
      </c>
      <c r="M216" s="106">
        <v>52.334050000000005</v>
      </c>
      <c r="N216" s="106">
        <v>51.670960000000001</v>
      </c>
      <c r="O216" s="106">
        <v>51</v>
      </c>
      <c r="P216" s="290">
        <v>58</v>
      </c>
      <c r="Q216" s="290">
        <v>21909</v>
      </c>
      <c r="R216" s="290">
        <v>21841</v>
      </c>
      <c r="S216" s="290">
        <v>26252.611390000002</v>
      </c>
      <c r="T216" s="290">
        <v>27167</v>
      </c>
      <c r="V216" s="117" t="s">
        <v>443</v>
      </c>
      <c r="W216" s="290">
        <v>26861.848839999999</v>
      </c>
      <c r="X216" s="290">
        <v>26530.988289999998</v>
      </c>
      <c r="Y216" s="290">
        <v>26210.707109999999</v>
      </c>
      <c r="Z216" s="290">
        <v>27688.815280000003</v>
      </c>
      <c r="AA216" s="290">
        <v>27401.930519999998</v>
      </c>
      <c r="AB216" s="290">
        <v>27142.896000000001</v>
      </c>
    </row>
    <row r="217" spans="2:28" ht="16.2" thickBot="1">
      <c r="B217" s="117" t="s">
        <v>444</v>
      </c>
      <c r="C217" s="106">
        <v>56040.737999999998</v>
      </c>
      <c r="D217" s="106">
        <v>52615.105539999997</v>
      </c>
      <c r="E217" s="106">
        <v>51750.887499999997</v>
      </c>
      <c r="F217" s="106">
        <v>50886.669439999998</v>
      </c>
      <c r="G217" s="106">
        <v>50022.451420000005</v>
      </c>
      <c r="H217" s="106">
        <v>49158.233390000001</v>
      </c>
      <c r="I217" s="106">
        <v>48294.015350000001</v>
      </c>
      <c r="J217" s="106">
        <v>47425.467840000005</v>
      </c>
      <c r="K217" s="106">
        <v>46561.30833</v>
      </c>
      <c r="L217" s="106">
        <v>47570.886610000001</v>
      </c>
      <c r="M217" s="106">
        <v>46841.211670000004</v>
      </c>
      <c r="N217" s="106">
        <v>46111.537020000003</v>
      </c>
      <c r="O217" s="106">
        <v>45382</v>
      </c>
      <c r="P217" s="290">
        <v>44652</v>
      </c>
      <c r="Q217" s="290">
        <v>219568</v>
      </c>
      <c r="R217" s="290">
        <v>218871</v>
      </c>
      <c r="S217" s="290">
        <v>205646.01025999998</v>
      </c>
      <c r="T217" s="290">
        <v>204551</v>
      </c>
      <c r="V217" s="117" t="s">
        <v>444</v>
      </c>
      <c r="W217" s="290">
        <v>203849.75691999999</v>
      </c>
      <c r="X217" s="290">
        <v>203148.78128</v>
      </c>
      <c r="Y217" s="290">
        <v>202447.80571000002</v>
      </c>
      <c r="Z217" s="290">
        <v>201688.288</v>
      </c>
      <c r="AA217" s="290">
        <v>200963.03044</v>
      </c>
      <c r="AB217" s="290">
        <v>201050.65100000001</v>
      </c>
    </row>
    <row r="218" spans="2:28" ht="16.2" thickBot="1">
      <c r="B218" s="117" t="s">
        <v>445</v>
      </c>
      <c r="C218" s="106">
        <v>871.41300000000001</v>
      </c>
      <c r="D218" s="106">
        <v>535.50527</v>
      </c>
      <c r="E218" s="106">
        <v>565.4166899999999</v>
      </c>
      <c r="F218" s="106">
        <v>744.12060999999994</v>
      </c>
      <c r="G218" s="106">
        <v>636.98600999999996</v>
      </c>
      <c r="H218" s="106">
        <v>645.24162000000001</v>
      </c>
      <c r="I218" s="106">
        <v>652.8723</v>
      </c>
      <c r="J218" s="106">
        <v>653.57219999999995</v>
      </c>
      <c r="K218" s="106">
        <v>602.31506000000002</v>
      </c>
      <c r="L218" s="106">
        <v>228.29979999999998</v>
      </c>
      <c r="M218" s="106">
        <v>237.64404999999999</v>
      </c>
      <c r="N218" s="106">
        <v>233.39692000000002</v>
      </c>
      <c r="O218" s="106">
        <v>347</v>
      </c>
      <c r="P218" s="290">
        <v>278</v>
      </c>
      <c r="Q218" s="290">
        <v>288</v>
      </c>
      <c r="R218" s="290">
        <v>291</v>
      </c>
      <c r="S218" s="290">
        <v>230.43534</v>
      </c>
      <c r="T218" s="290">
        <v>137</v>
      </c>
      <c r="V218" s="117" t="s">
        <v>445</v>
      </c>
      <c r="W218" s="290">
        <v>569.55511999999999</v>
      </c>
      <c r="X218" s="290">
        <v>6086.61247</v>
      </c>
      <c r="Y218" s="290">
        <v>-7.0000000000000007E-5</v>
      </c>
      <c r="Z218" s="290">
        <v>2.9E-4</v>
      </c>
      <c r="AA218" s="290">
        <v>2.9E-4</v>
      </c>
      <c r="AB218" s="290">
        <v>0</v>
      </c>
    </row>
    <row r="219" spans="2:28" ht="15.6" thickBot="1">
      <c r="B219" s="115" t="s">
        <v>110</v>
      </c>
      <c r="C219" s="120">
        <f>+SUM(C215:C218)</f>
        <v>57664.854999999996</v>
      </c>
      <c r="D219" s="120">
        <f t="shared" ref="D219:R219" si="60">+SUM(D215:D218)</f>
        <v>276963.66270000004</v>
      </c>
      <c r="E219" s="120">
        <f t="shared" si="60"/>
        <v>230907.69298000002</v>
      </c>
      <c r="F219" s="120">
        <f t="shared" si="60"/>
        <v>221239.51575000002</v>
      </c>
      <c r="G219" s="120">
        <f t="shared" si="60"/>
        <v>221683.50003999998</v>
      </c>
      <c r="H219" s="120">
        <f t="shared" si="60"/>
        <v>194789.87453</v>
      </c>
      <c r="I219" s="120">
        <f t="shared" si="60"/>
        <v>183410.62406999999</v>
      </c>
      <c r="J219" s="120">
        <f t="shared" si="60"/>
        <v>171832.11337000001</v>
      </c>
      <c r="K219" s="120">
        <f t="shared" si="60"/>
        <v>147662.03362999999</v>
      </c>
      <c r="L219" s="120">
        <f t="shared" si="60"/>
        <v>181336.18356</v>
      </c>
      <c r="M219" s="120">
        <f t="shared" si="60"/>
        <v>176980.18977</v>
      </c>
      <c r="N219" s="120">
        <f t="shared" si="60"/>
        <v>208665.60490000001</v>
      </c>
      <c r="O219" s="120">
        <f t="shared" si="60"/>
        <v>204243</v>
      </c>
      <c r="P219" s="120">
        <f t="shared" si="60"/>
        <v>205057</v>
      </c>
      <c r="Q219" s="120">
        <f t="shared" si="60"/>
        <v>241765</v>
      </c>
      <c r="R219" s="120">
        <f t="shared" si="60"/>
        <v>241003</v>
      </c>
      <c r="S219" s="120">
        <v>232129.22098999997</v>
      </c>
      <c r="T219" s="120">
        <f t="shared" ref="T219" si="61">SUM(T214:T218)</f>
        <v>231855</v>
      </c>
      <c r="V219" s="115" t="s">
        <v>110</v>
      </c>
      <c r="W219" s="120">
        <v>231281.33487999998</v>
      </c>
      <c r="X219" s="120">
        <v>235766.38204</v>
      </c>
      <c r="Y219" s="120">
        <v>228658.65475000002</v>
      </c>
      <c r="Z219" s="120">
        <f>+SUM(Z214:Z218)</f>
        <v>229377.24757000001</v>
      </c>
      <c r="AA219" s="120">
        <f>+SUM(AA214:AA218)</f>
        <v>228365.15925</v>
      </c>
      <c r="AB219" s="120">
        <v>228193.71400000001</v>
      </c>
    </row>
    <row r="220" spans="2:28" ht="15.6" thickBot="1">
      <c r="B220" s="121" t="s">
        <v>111</v>
      </c>
      <c r="C220" s="122">
        <f>+C212+C219</f>
        <v>66966.381999999998</v>
      </c>
      <c r="D220" s="122">
        <f t="shared" ref="D220:R220" si="62">+D212+D219</f>
        <v>287539.86974000005</v>
      </c>
      <c r="E220" s="122">
        <f t="shared" si="62"/>
        <v>238209.82841000002</v>
      </c>
      <c r="F220" s="122">
        <f t="shared" si="62"/>
        <v>228901.83855000001</v>
      </c>
      <c r="G220" s="122">
        <f t="shared" si="62"/>
        <v>231192.00159</v>
      </c>
      <c r="H220" s="122">
        <f t="shared" si="62"/>
        <v>204734.99812</v>
      </c>
      <c r="I220" s="122">
        <f t="shared" si="62"/>
        <v>191472.51115999999</v>
      </c>
      <c r="J220" s="122">
        <f t="shared" si="62"/>
        <v>175794.37580000001</v>
      </c>
      <c r="K220" s="122">
        <f t="shared" si="62"/>
        <v>151777.98210999998</v>
      </c>
      <c r="L220" s="122">
        <f t="shared" si="62"/>
        <v>188493.55694000001</v>
      </c>
      <c r="M220" s="122">
        <f t="shared" si="62"/>
        <v>186552.95816000001</v>
      </c>
      <c r="N220" s="122">
        <f t="shared" si="62"/>
        <v>214194.30939000001</v>
      </c>
      <c r="O220" s="122">
        <f t="shared" si="62"/>
        <v>210092</v>
      </c>
      <c r="P220" s="122">
        <f t="shared" si="62"/>
        <v>212552</v>
      </c>
      <c r="Q220" s="122">
        <f t="shared" si="62"/>
        <v>251461</v>
      </c>
      <c r="R220" s="122">
        <f t="shared" si="62"/>
        <v>248777</v>
      </c>
      <c r="S220" s="122">
        <v>240907.49845999997</v>
      </c>
      <c r="T220" s="122">
        <f t="shared" ref="T220" si="63">+T212+T219</f>
        <v>241845</v>
      </c>
      <c r="V220" s="121" t="s">
        <v>111</v>
      </c>
      <c r="W220" s="122">
        <v>240304.82090999998</v>
      </c>
      <c r="X220" s="122">
        <v>249991.93213</v>
      </c>
      <c r="Y220" s="122">
        <v>244201.68797000003</v>
      </c>
      <c r="Z220" s="122">
        <f>+Z212+Z219</f>
        <v>241085.21401</v>
      </c>
      <c r="AA220" s="122">
        <f>+AA212+AA219</f>
        <v>240020.24098</v>
      </c>
      <c r="AB220" s="122">
        <v>239912.454</v>
      </c>
    </row>
    <row r="221" spans="2:28" ht="15.6" thickBot="1">
      <c r="B221" s="123"/>
      <c r="C221" s="124"/>
      <c r="D221" s="124"/>
      <c r="E221" s="124"/>
      <c r="F221" s="124"/>
      <c r="G221" s="124"/>
      <c r="H221" s="124"/>
      <c r="I221" s="124"/>
      <c r="J221" s="124"/>
      <c r="K221" s="124"/>
      <c r="L221" s="124"/>
      <c r="M221" s="124"/>
      <c r="N221" s="143"/>
      <c r="O221" s="143"/>
      <c r="P221" s="143"/>
      <c r="Q221" s="143"/>
      <c r="R221" s="143"/>
      <c r="S221" s="143">
        <v>0</v>
      </c>
      <c r="V221" s="123"/>
    </row>
    <row r="222" spans="2:28" ht="15.6" thickBot="1">
      <c r="B222" s="113" t="s">
        <v>112</v>
      </c>
      <c r="C222" s="125"/>
      <c r="D222" s="125"/>
      <c r="E222" s="125"/>
      <c r="F222" s="125"/>
      <c r="G222" s="125"/>
      <c r="H222" s="125"/>
      <c r="I222" s="125"/>
      <c r="J222" s="125"/>
      <c r="K222" s="125"/>
      <c r="L222" s="125"/>
      <c r="M222" s="125"/>
      <c r="N222" s="125"/>
      <c r="O222" s="125"/>
      <c r="P222" s="125"/>
      <c r="Q222" s="125"/>
      <c r="R222" s="125"/>
      <c r="S222" s="125"/>
      <c r="T222" s="125"/>
      <c r="V222" s="113" t="s">
        <v>112</v>
      </c>
      <c r="W222" s="125"/>
      <c r="X222" s="125"/>
      <c r="Y222" s="125"/>
      <c r="Z222" s="125"/>
      <c r="AA222" s="125"/>
      <c r="AB222" s="125"/>
    </row>
    <row r="223" spans="2:28" ht="15.6" thickBot="1">
      <c r="B223" s="115" t="s">
        <v>113</v>
      </c>
      <c r="C223" s="126"/>
      <c r="D223" s="126"/>
      <c r="E223" s="126"/>
      <c r="F223" s="126"/>
      <c r="G223" s="126"/>
      <c r="H223" s="126"/>
      <c r="I223" s="126"/>
      <c r="J223" s="126"/>
      <c r="K223" s="126"/>
      <c r="L223" s="126"/>
      <c r="M223" s="126"/>
      <c r="N223" s="126"/>
      <c r="O223" s="126"/>
      <c r="P223" s="126"/>
      <c r="Q223" s="126"/>
      <c r="R223" s="126"/>
      <c r="S223" s="126"/>
      <c r="T223" s="126"/>
      <c r="V223" s="115" t="s">
        <v>113</v>
      </c>
      <c r="W223" s="126"/>
      <c r="X223" s="126"/>
      <c r="Y223" s="126"/>
      <c r="Z223" s="126"/>
      <c r="AA223" s="126"/>
      <c r="AB223" s="126"/>
    </row>
    <row r="224" spans="2:28" ht="16.2" thickBot="1">
      <c r="B224" s="117" t="s">
        <v>446</v>
      </c>
      <c r="C224" s="106">
        <v>0</v>
      </c>
      <c r="D224" s="106">
        <v>0</v>
      </c>
      <c r="E224" s="106">
        <v>0</v>
      </c>
      <c r="F224" s="106">
        <v>0</v>
      </c>
      <c r="G224" s="106">
        <v>0</v>
      </c>
      <c r="H224" s="106">
        <v>0</v>
      </c>
      <c r="I224" s="106">
        <v>0</v>
      </c>
      <c r="J224" s="106">
        <v>1240.6630500000001</v>
      </c>
      <c r="K224" s="106">
        <v>0</v>
      </c>
      <c r="L224" s="106">
        <v>0</v>
      </c>
      <c r="M224" s="106">
        <v>0</v>
      </c>
      <c r="N224" s="106">
        <v>0</v>
      </c>
      <c r="O224" s="106">
        <v>0</v>
      </c>
      <c r="P224" s="290">
        <v>0</v>
      </c>
      <c r="Q224" s="290">
        <v>0</v>
      </c>
      <c r="R224" s="290">
        <v>0</v>
      </c>
      <c r="S224" s="290">
        <v>0</v>
      </c>
      <c r="T224" s="290">
        <v>0</v>
      </c>
      <c r="V224" s="117" t="s">
        <v>446</v>
      </c>
      <c r="W224" s="290">
        <v>0</v>
      </c>
      <c r="X224" s="290">
        <v>0</v>
      </c>
      <c r="Y224" s="290">
        <v>0</v>
      </c>
      <c r="Z224" s="290"/>
      <c r="AA224" s="290"/>
      <c r="AB224" s="290"/>
    </row>
    <row r="225" spans="2:28" ht="16.2" thickBot="1">
      <c r="B225" s="117" t="s">
        <v>447</v>
      </c>
      <c r="C225" s="106">
        <v>2089.9720000000002</v>
      </c>
      <c r="D225" s="106">
        <v>262.15836999999999</v>
      </c>
      <c r="E225" s="106">
        <v>100.83333</v>
      </c>
      <c r="F225" s="106">
        <v>104.45219</v>
      </c>
      <c r="G225" s="106">
        <v>107.15575</v>
      </c>
      <c r="H225" s="106">
        <v>127.10474000000001</v>
      </c>
      <c r="I225" s="106">
        <v>115.89825999999999</v>
      </c>
      <c r="J225" s="106">
        <v>52.311879999999995</v>
      </c>
      <c r="K225" s="106">
        <v>111.28141000000001</v>
      </c>
      <c r="L225" s="106">
        <v>227.55151999999998</v>
      </c>
      <c r="M225" s="106">
        <v>247.11226000000002</v>
      </c>
      <c r="N225" s="106">
        <v>121.59957</v>
      </c>
      <c r="O225" s="106">
        <v>389</v>
      </c>
      <c r="P225" s="290">
        <v>479</v>
      </c>
      <c r="Q225" s="290">
        <v>147</v>
      </c>
      <c r="R225" s="290">
        <v>380</v>
      </c>
      <c r="S225" s="290">
        <v>617.20746999999994</v>
      </c>
      <c r="T225" s="290">
        <v>1643</v>
      </c>
      <c r="V225" s="117" t="s">
        <v>447</v>
      </c>
      <c r="W225" s="290">
        <v>332.61834999999996</v>
      </c>
      <c r="X225" s="290">
        <v>797.42797999999993</v>
      </c>
      <c r="Y225" s="290">
        <v>682.12342000000001</v>
      </c>
      <c r="Z225" s="290">
        <v>913.68896999999993</v>
      </c>
      <c r="AA225" s="290">
        <v>984.76679000000001</v>
      </c>
      <c r="AB225" s="290">
        <v>1128.991</v>
      </c>
    </row>
    <row r="226" spans="2:28" ht="16.2" thickBot="1">
      <c r="B226" s="117" t="s">
        <v>448</v>
      </c>
      <c r="C226" s="106">
        <v>40.892000000000003</v>
      </c>
      <c r="D226" s="106">
        <v>184.137</v>
      </c>
      <c r="E226" s="106">
        <v>1636.48748</v>
      </c>
      <c r="F226" s="106">
        <v>227.46798000000001</v>
      </c>
      <c r="G226" s="106">
        <v>236.20139</v>
      </c>
      <c r="H226" s="106">
        <v>230.71124000000006</v>
      </c>
      <c r="I226" s="106">
        <v>306.72906999999992</v>
      </c>
      <c r="J226" s="106">
        <v>271.56617</v>
      </c>
      <c r="K226" s="106">
        <v>259.90174000000002</v>
      </c>
      <c r="L226" s="106">
        <v>217.59421999999998</v>
      </c>
      <c r="M226" s="106">
        <v>224.76383000000001</v>
      </c>
      <c r="N226" s="106">
        <v>240.35527999999999</v>
      </c>
      <c r="O226" s="106">
        <v>235</v>
      </c>
      <c r="P226" s="290">
        <v>159</v>
      </c>
      <c r="Q226" s="290">
        <v>327</v>
      </c>
      <c r="R226" s="290">
        <v>371</v>
      </c>
      <c r="S226" s="290">
        <v>282.42048999999997</v>
      </c>
      <c r="T226" s="290">
        <v>248</v>
      </c>
      <c r="V226" s="117" t="s">
        <v>448</v>
      </c>
      <c r="W226" s="290">
        <v>0</v>
      </c>
      <c r="X226" s="290">
        <v>0</v>
      </c>
      <c r="Y226" s="290">
        <v>0</v>
      </c>
      <c r="Z226" s="290">
        <v>135.46963</v>
      </c>
      <c r="AA226" s="290">
        <v>164.64326</v>
      </c>
      <c r="AB226" s="290">
        <v>197.93600000000001</v>
      </c>
    </row>
    <row r="227" spans="2:28" ht="16.2" thickBot="1">
      <c r="B227" s="117" t="s">
        <v>449</v>
      </c>
      <c r="C227" s="106">
        <v>11.651</v>
      </c>
      <c r="D227" s="106">
        <v>0</v>
      </c>
      <c r="E227" s="106">
        <v>17.333490000000001</v>
      </c>
      <c r="F227" s="106">
        <v>3.9153699999999998</v>
      </c>
      <c r="G227" s="106">
        <v>2.7907100000000002</v>
      </c>
      <c r="H227" s="106">
        <v>1.9128800000000001</v>
      </c>
      <c r="I227" s="106">
        <v>3.62263</v>
      </c>
      <c r="J227" s="106">
        <v>0</v>
      </c>
      <c r="K227" s="106">
        <v>0</v>
      </c>
      <c r="L227" s="106">
        <v>0</v>
      </c>
      <c r="M227" s="106">
        <v>0</v>
      </c>
      <c r="N227" s="106">
        <v>0</v>
      </c>
      <c r="O227" s="106">
        <v>0</v>
      </c>
      <c r="P227" s="290">
        <v>0</v>
      </c>
      <c r="Q227" s="290">
        <v>0</v>
      </c>
      <c r="R227" s="290">
        <v>0</v>
      </c>
      <c r="S227" s="290">
        <v>0</v>
      </c>
      <c r="T227" s="290">
        <v>0</v>
      </c>
      <c r="V227" s="117" t="s">
        <v>449</v>
      </c>
      <c r="W227" s="290">
        <v>0</v>
      </c>
      <c r="X227" s="290">
        <v>0</v>
      </c>
      <c r="Y227" s="290">
        <v>0</v>
      </c>
      <c r="Z227" s="290">
        <v>0</v>
      </c>
      <c r="AA227" s="290">
        <v>0</v>
      </c>
      <c r="AB227" s="290">
        <v>0</v>
      </c>
    </row>
    <row r="228" spans="2:28" ht="16.2" thickBot="1">
      <c r="B228" s="117" t="s">
        <v>450</v>
      </c>
      <c r="C228" s="106">
        <v>483.81599999999997</v>
      </c>
      <c r="D228" s="106">
        <v>399.12099999999998</v>
      </c>
      <c r="E228" s="106">
        <v>325.68234999999999</v>
      </c>
      <c r="F228" s="106">
        <v>317.73381999999992</v>
      </c>
      <c r="G228" s="106">
        <v>310.14509999999996</v>
      </c>
      <c r="H228" s="106">
        <v>49.533729999999984</v>
      </c>
      <c r="I228" s="106">
        <v>20.591940000000061</v>
      </c>
      <c r="J228" s="106">
        <v>24.260960000000079</v>
      </c>
      <c r="K228" s="106">
        <v>27.394239999999932</v>
      </c>
      <c r="L228" s="106">
        <v>38.132859999999987</v>
      </c>
      <c r="M228" s="106">
        <v>38.321949999999951</v>
      </c>
      <c r="N228" s="106">
        <v>44.198779999999914</v>
      </c>
      <c r="O228" s="106">
        <v>-985</v>
      </c>
      <c r="P228" s="290">
        <v>275</v>
      </c>
      <c r="Q228" s="290">
        <v>703</v>
      </c>
      <c r="R228" s="290">
        <v>33</v>
      </c>
      <c r="S228" s="290">
        <v>43.262989999999988</v>
      </c>
      <c r="T228" s="290">
        <v>58</v>
      </c>
      <c r="V228" s="117" t="s">
        <v>450</v>
      </c>
      <c r="W228" s="290">
        <v>0</v>
      </c>
      <c r="X228" s="290">
        <v>0</v>
      </c>
      <c r="Y228" s="290">
        <v>0</v>
      </c>
      <c r="Z228" s="290">
        <v>24.285389999999897</v>
      </c>
      <c r="AA228" s="290">
        <v>23.926140000000014</v>
      </c>
      <c r="AB228" s="290">
        <v>23.591999999999999</v>
      </c>
    </row>
    <row r="229" spans="2:28" ht="16.2" thickBot="1">
      <c r="B229" s="117" t="s">
        <v>451</v>
      </c>
      <c r="C229" s="106">
        <v>536.35900000000004</v>
      </c>
      <c r="D229" s="106">
        <v>583.25800000000004</v>
      </c>
      <c r="E229" s="106">
        <v>1979.5033199999998</v>
      </c>
      <c r="F229" s="106">
        <v>549.11716999999987</v>
      </c>
      <c r="G229" s="106">
        <v>549.13720000000001</v>
      </c>
      <c r="H229" s="106">
        <v>282.15785000000005</v>
      </c>
      <c r="I229" s="106">
        <v>330.94364000000002</v>
      </c>
      <c r="J229" s="106">
        <v>295.82713000000007</v>
      </c>
      <c r="K229" s="106">
        <v>287.29597999999999</v>
      </c>
      <c r="L229" s="106">
        <v>255.72707999999994</v>
      </c>
      <c r="M229" s="106">
        <v>263.08577999999994</v>
      </c>
      <c r="N229" s="106">
        <v>284.55405999999994</v>
      </c>
      <c r="O229" s="106">
        <v>-750</v>
      </c>
      <c r="P229" s="290">
        <v>435</v>
      </c>
      <c r="Q229" s="290">
        <v>1030</v>
      </c>
      <c r="R229" s="290">
        <v>404</v>
      </c>
      <c r="S229" s="290">
        <v>325.68347999999997</v>
      </c>
      <c r="T229" s="290">
        <v>306</v>
      </c>
      <c r="V229" s="117" t="s">
        <v>451</v>
      </c>
      <c r="W229" s="290">
        <v>406.63369</v>
      </c>
      <c r="X229" s="290">
        <v>492.72280999999998</v>
      </c>
      <c r="Y229" s="290">
        <v>250.6166699999998</v>
      </c>
      <c r="Z229" s="290">
        <v>159.75501999999989</v>
      </c>
      <c r="AA229" s="290">
        <v>188.56940000000003</v>
      </c>
      <c r="AB229" s="290">
        <v>221.52799999999999</v>
      </c>
    </row>
    <row r="230" spans="2:28" ht="16.2" thickBot="1">
      <c r="B230" s="117" t="s">
        <v>452</v>
      </c>
      <c r="C230" s="106">
        <v>321.90899999999999</v>
      </c>
      <c r="D230" s="106">
        <v>117.44467</v>
      </c>
      <c r="E230" s="106">
        <v>135.73020000000002</v>
      </c>
      <c r="F230" s="106">
        <v>61.590290000000003</v>
      </c>
      <c r="G230" s="106">
        <v>10.50412</v>
      </c>
      <c r="H230" s="106">
        <v>77.913679999999999</v>
      </c>
      <c r="I230" s="106">
        <v>7436.6472800000001</v>
      </c>
      <c r="J230" s="106">
        <v>159.73886999999999</v>
      </c>
      <c r="K230" s="106">
        <v>95.959039999999987</v>
      </c>
      <c r="L230" s="106">
        <v>201.55891</v>
      </c>
      <c r="M230" s="106">
        <v>216.07115999999999</v>
      </c>
      <c r="N230" s="106">
        <v>-4.6391200000000001</v>
      </c>
      <c r="O230" s="106">
        <v>77</v>
      </c>
      <c r="P230" s="290">
        <v>89</v>
      </c>
      <c r="Q230" s="290">
        <v>4276</v>
      </c>
      <c r="R230" s="290">
        <v>4034</v>
      </c>
      <c r="S230" s="290">
        <v>4117.6294900000003</v>
      </c>
      <c r="T230" s="290">
        <v>4371</v>
      </c>
      <c r="V230" s="117" t="s">
        <v>452</v>
      </c>
      <c r="W230" s="290">
        <v>7321.2254000000003</v>
      </c>
      <c r="X230" s="290">
        <v>7320.7208899999996</v>
      </c>
      <c r="Y230" s="290">
        <v>7335.4538899999998</v>
      </c>
      <c r="Z230" s="290">
        <v>1055.2445600000001</v>
      </c>
      <c r="AA230" s="290">
        <v>9094.5752300000004</v>
      </c>
      <c r="AB230" s="290">
        <v>6292.3919999999998</v>
      </c>
    </row>
    <row r="231" spans="2:28" ht="16.2" thickBot="1">
      <c r="B231" s="117" t="s">
        <v>453</v>
      </c>
      <c r="C231" s="106">
        <v>504.51900000000001</v>
      </c>
      <c r="D231" s="106">
        <v>6.6830600000000002</v>
      </c>
      <c r="E231" s="106">
        <v>-13.63313</v>
      </c>
      <c r="F231" s="106">
        <v>219.48492000000002</v>
      </c>
      <c r="G231" s="106">
        <v>288.99624</v>
      </c>
      <c r="H231" s="106">
        <v>348.58605999999997</v>
      </c>
      <c r="I231" s="106">
        <v>445.79001</v>
      </c>
      <c r="J231" s="106">
        <v>359.95370000000003</v>
      </c>
      <c r="K231" s="106">
        <v>251.30396999999999</v>
      </c>
      <c r="L231" s="106">
        <v>312.82451000000003</v>
      </c>
      <c r="M231" s="106">
        <v>311.09944000000002</v>
      </c>
      <c r="N231" s="106">
        <v>248.18477999999999</v>
      </c>
      <c r="O231" s="106">
        <v>50</v>
      </c>
      <c r="P231" s="290">
        <v>-220</v>
      </c>
      <c r="Q231" s="290">
        <v>126</v>
      </c>
      <c r="R231" s="290">
        <v>470</v>
      </c>
      <c r="S231" s="290">
        <v>242.82413</v>
      </c>
      <c r="T231" s="290">
        <v>82</v>
      </c>
      <c r="V231" s="117" t="s">
        <v>453</v>
      </c>
      <c r="W231" s="290">
        <v>-200.40707</v>
      </c>
      <c r="X231" s="290">
        <v>-513.24081000000001</v>
      </c>
      <c r="Y231" s="290">
        <v>332.55465000000004</v>
      </c>
      <c r="Z231" s="290">
        <v>0</v>
      </c>
      <c r="AA231" s="290">
        <v>0</v>
      </c>
      <c r="AB231" s="290">
        <v>0</v>
      </c>
    </row>
    <row r="232" spans="2:28" ht="16.2" thickBot="1">
      <c r="B232" s="117" t="s">
        <v>454</v>
      </c>
      <c r="C232" s="106">
        <v>685.7</v>
      </c>
      <c r="D232" s="106">
        <v>210.16800000000001</v>
      </c>
      <c r="E232" s="106">
        <v>232.7165</v>
      </c>
      <c r="F232" s="106">
        <v>268.33249999999998</v>
      </c>
      <c r="G232" s="106">
        <v>250.88574</v>
      </c>
      <c r="H232" s="106">
        <v>627.00434999999993</v>
      </c>
      <c r="I232" s="106">
        <v>572.33484999999996</v>
      </c>
      <c r="J232" s="106">
        <v>560.98996</v>
      </c>
      <c r="K232" s="106">
        <v>519.61709000000008</v>
      </c>
      <c r="L232" s="106">
        <v>713.46316999999999</v>
      </c>
      <c r="M232" s="106">
        <v>720.11279000000002</v>
      </c>
      <c r="N232" s="106">
        <v>720.47079000000008</v>
      </c>
      <c r="O232" s="106">
        <v>728</v>
      </c>
      <c r="P232" s="290">
        <v>704</v>
      </c>
      <c r="Q232" s="290">
        <v>88</v>
      </c>
      <c r="R232" s="290">
        <v>752</v>
      </c>
      <c r="S232" s="290">
        <v>814.90105000000005</v>
      </c>
      <c r="T232" s="290">
        <v>827</v>
      </c>
      <c r="V232" s="117" t="s">
        <v>454</v>
      </c>
      <c r="W232" s="290">
        <v>864.25709999999992</v>
      </c>
      <c r="X232" s="290">
        <v>882.00382999999999</v>
      </c>
      <c r="Y232" s="290">
        <v>909.86783000000003</v>
      </c>
      <c r="Z232" s="290">
        <v>1141.33383</v>
      </c>
      <c r="AA232" s="290">
        <v>998.54082999999991</v>
      </c>
      <c r="AB232" s="290">
        <v>1022.54</v>
      </c>
    </row>
    <row r="233" spans="2:28" ht="16.2" thickBot="1">
      <c r="B233" s="117" t="s">
        <v>455</v>
      </c>
      <c r="C233" s="106">
        <v>0</v>
      </c>
      <c r="D233" s="106">
        <v>5688.2420000000002</v>
      </c>
      <c r="E233" s="106">
        <v>9758.3232100000005</v>
      </c>
      <c r="F233" s="106">
        <v>9829.2682599999989</v>
      </c>
      <c r="G233" s="106">
        <v>8691.7904999999992</v>
      </c>
      <c r="H233" s="106">
        <v>8808.1124799999998</v>
      </c>
      <c r="I233" s="106">
        <v>4867.3505100000002</v>
      </c>
      <c r="J233" s="106">
        <v>4927.3183799999997</v>
      </c>
      <c r="K233" s="106">
        <v>6273.6756599999999</v>
      </c>
      <c r="L233" s="106">
        <v>2378.6024900000002</v>
      </c>
      <c r="M233" s="106">
        <v>2402.5289199999997</v>
      </c>
      <c r="N233" s="106">
        <v>2425.5372400000001</v>
      </c>
      <c r="O233" s="106">
        <v>6449</v>
      </c>
      <c r="P233" s="290">
        <v>5828</v>
      </c>
      <c r="Q233" s="290">
        <v>-654</v>
      </c>
      <c r="R233" s="290">
        <v>-502</v>
      </c>
      <c r="S233" s="290">
        <v>147146.89638999998</v>
      </c>
      <c r="T233" s="290">
        <v>144972</v>
      </c>
      <c r="V233" s="117" t="s">
        <v>455</v>
      </c>
      <c r="W233" s="290">
        <v>150313.49335</v>
      </c>
      <c r="X233" s="290">
        <v>82852.832139999999</v>
      </c>
      <c r="Y233" s="290">
        <v>4984.9361100000006</v>
      </c>
      <c r="Z233" s="290">
        <v>5110.4279900000001</v>
      </c>
      <c r="AA233" s="290">
        <v>1017.12185</v>
      </c>
      <c r="AB233" s="290">
        <v>1088.0809999999999</v>
      </c>
    </row>
    <row r="234" spans="2:28" ht="15.6" thickBot="1">
      <c r="B234" s="115" t="s">
        <v>121</v>
      </c>
      <c r="C234" s="120">
        <f>SUM(C224:C233)-SUM(C226:C228)</f>
        <v>4138.4589999999989</v>
      </c>
      <c r="D234" s="120">
        <f t="shared" ref="D234:N234" si="64">SUM(D224:D233)-SUM(D226:D228)</f>
        <v>6867.9541000000008</v>
      </c>
      <c r="E234" s="120">
        <f t="shared" si="64"/>
        <v>12193.47343</v>
      </c>
      <c r="F234" s="120">
        <f t="shared" si="64"/>
        <v>11032.24533</v>
      </c>
      <c r="G234" s="120">
        <f t="shared" si="64"/>
        <v>9898.4695499999998</v>
      </c>
      <c r="H234" s="120">
        <f t="shared" si="64"/>
        <v>10270.87916</v>
      </c>
      <c r="I234" s="120">
        <f t="shared" si="64"/>
        <v>13768.964550000001</v>
      </c>
      <c r="J234" s="120">
        <f t="shared" si="64"/>
        <v>7596.8029700000006</v>
      </c>
      <c r="K234" s="120">
        <f t="shared" si="64"/>
        <v>7539.1331500000006</v>
      </c>
      <c r="L234" s="120">
        <f t="shared" si="64"/>
        <v>4089.7276800000004</v>
      </c>
      <c r="M234" s="120">
        <f t="shared" si="64"/>
        <v>4160.0103499999996</v>
      </c>
      <c r="N234" s="120">
        <f t="shared" si="64"/>
        <v>3795.70732</v>
      </c>
      <c r="O234" s="120">
        <v>6943</v>
      </c>
      <c r="P234" s="120">
        <f>SUM(P224:P233)-SUM(P226:P228)</f>
        <v>7315</v>
      </c>
      <c r="Q234" s="120">
        <f t="shared" ref="Q234" si="65">SUM(Q224:Q233)-SUM(Q226:Q228)</f>
        <v>5013</v>
      </c>
      <c r="R234" s="120">
        <v>5538</v>
      </c>
      <c r="S234" s="120">
        <v>153265.14200999998</v>
      </c>
      <c r="T234" s="120">
        <f t="shared" ref="T234" si="66">SUM(T224:T233)-SUM(T226:T228)</f>
        <v>152201</v>
      </c>
      <c r="V234" s="115" t="s">
        <v>121</v>
      </c>
      <c r="W234" s="120">
        <v>159037.82081999999</v>
      </c>
      <c r="X234" s="120">
        <v>91832.466839999994</v>
      </c>
      <c r="Y234" s="120">
        <v>14495.55257</v>
      </c>
      <c r="Z234" s="120">
        <f>+SUM(Z229:Z233)+Z225</f>
        <v>8380.4503700000005</v>
      </c>
      <c r="AA234" s="120">
        <f>+SUM(AA229:AA233)+AA225</f>
        <v>12283.5741</v>
      </c>
      <c r="AB234" s="120">
        <v>9753.5319999999992</v>
      </c>
    </row>
    <row r="235" spans="2:28" ht="15.6" thickBot="1">
      <c r="B235" s="127" t="s">
        <v>122</v>
      </c>
      <c r="C235" s="128"/>
      <c r="D235" s="128"/>
      <c r="E235" s="128"/>
      <c r="F235" s="128"/>
      <c r="G235" s="128"/>
      <c r="H235" s="128"/>
      <c r="I235" s="128"/>
      <c r="J235" s="128"/>
      <c r="K235" s="128"/>
      <c r="L235" s="128"/>
      <c r="M235" s="128"/>
      <c r="N235" s="146"/>
      <c r="O235" s="146"/>
      <c r="P235" s="146"/>
      <c r="Q235" s="146"/>
      <c r="R235" s="146"/>
      <c r="S235" s="146"/>
      <c r="T235" s="146"/>
      <c r="V235" s="127" t="s">
        <v>122</v>
      </c>
      <c r="W235" s="146"/>
      <c r="X235" s="146"/>
      <c r="Y235" s="146"/>
      <c r="Z235" s="146"/>
      <c r="AA235" s="146"/>
      <c r="AB235" s="146"/>
    </row>
    <row r="236" spans="2:28" ht="16.2" thickBot="1">
      <c r="B236" s="117" t="s">
        <v>454</v>
      </c>
      <c r="C236" s="106">
        <v>1300.029</v>
      </c>
      <c r="D236" s="107">
        <v>16972.439999999999</v>
      </c>
      <c r="E236" s="107">
        <v>18448.233100000001</v>
      </c>
      <c r="F236" s="107">
        <v>20024.345600000001</v>
      </c>
      <c r="G236" s="107">
        <v>21350.256099999999</v>
      </c>
      <c r="H236" s="107">
        <v>17650.471999999998</v>
      </c>
      <c r="I236" s="107">
        <v>18319.892</v>
      </c>
      <c r="J236" s="107">
        <v>18589.962</v>
      </c>
      <c r="K236" s="107">
        <v>18135.815399999999</v>
      </c>
      <c r="L236" s="107">
        <v>15712.804399999999</v>
      </c>
      <c r="M236" s="107">
        <v>17667.252199999999</v>
      </c>
      <c r="N236" s="107">
        <v>19694.451799999999</v>
      </c>
      <c r="O236" s="163">
        <v>2146</v>
      </c>
      <c r="P236" s="292">
        <v>1921</v>
      </c>
      <c r="Q236" s="292">
        <v>2105</v>
      </c>
      <c r="R236" s="292">
        <v>2274</v>
      </c>
      <c r="S236" s="292">
        <v>2183.8203699999999</v>
      </c>
      <c r="T236" s="292">
        <v>2001</v>
      </c>
      <c r="V236" s="117" t="s">
        <v>454</v>
      </c>
      <c r="W236" s="292">
        <v>2034.1988000000001</v>
      </c>
      <c r="X236" s="292">
        <v>2116.4412699999998</v>
      </c>
      <c r="Y236" s="292">
        <v>2043.3413600000001</v>
      </c>
      <c r="Z236" s="292">
        <v>1781.1283100000001</v>
      </c>
      <c r="AA236" s="292">
        <v>1761.19814</v>
      </c>
      <c r="AB236" s="292">
        <v>1805.54</v>
      </c>
    </row>
    <row r="237" spans="2:28" ht="16.2" thickBot="1">
      <c r="B237" s="117" t="s">
        <v>456</v>
      </c>
      <c r="C237" s="106">
        <v>28696.924999999999</v>
      </c>
      <c r="D237" s="107">
        <v>230876.02</v>
      </c>
      <c r="E237" s="107">
        <v>179318.913</v>
      </c>
      <c r="F237" s="107">
        <v>167820.40239999999</v>
      </c>
      <c r="G237" s="107">
        <v>168085.82620000001</v>
      </c>
      <c r="H237" s="107">
        <v>142871.17689999999</v>
      </c>
      <c r="I237" s="107">
        <v>130678.82339999999</v>
      </c>
      <c r="J237" s="107">
        <v>118408.2193</v>
      </c>
      <c r="K237" s="107">
        <v>93036.418300000005</v>
      </c>
      <c r="L237" s="107">
        <v>132125.62650000001</v>
      </c>
      <c r="M237" s="107">
        <v>126184.0245</v>
      </c>
      <c r="N237" s="107">
        <v>160084.83660000001</v>
      </c>
      <c r="O237" s="163">
        <v>169504</v>
      </c>
      <c r="P237" s="292">
        <v>168408</v>
      </c>
      <c r="Q237" s="292">
        <v>158000</v>
      </c>
      <c r="R237" s="292">
        <v>151000</v>
      </c>
      <c r="S237" s="292">
        <v>0</v>
      </c>
      <c r="T237" s="292">
        <v>0</v>
      </c>
      <c r="V237" s="117" t="s">
        <v>456</v>
      </c>
      <c r="W237" s="292">
        <v>0</v>
      </c>
      <c r="X237" s="292">
        <v>65802.00632</v>
      </c>
      <c r="Y237" s="292">
        <v>138769.57937999998</v>
      </c>
      <c r="Z237" s="292">
        <v>141250.78527000002</v>
      </c>
      <c r="AA237" s="292">
        <v>142274.39504</v>
      </c>
      <c r="AB237" s="292">
        <v>144552.80499999999</v>
      </c>
    </row>
    <row r="238" spans="2:28" ht="19.05" customHeight="1" thickBot="1">
      <c r="B238" s="117" t="s">
        <v>457</v>
      </c>
      <c r="C238" s="106">
        <v>0</v>
      </c>
      <c r="D238" s="106">
        <v>0</v>
      </c>
      <c r="E238" s="106">
        <v>0</v>
      </c>
      <c r="F238" s="106">
        <v>0</v>
      </c>
      <c r="G238" s="106">
        <v>0</v>
      </c>
      <c r="H238" s="106">
        <v>0</v>
      </c>
      <c r="I238" s="106">
        <v>0</v>
      </c>
      <c r="J238" s="106">
        <v>0</v>
      </c>
      <c r="K238" s="106">
        <v>0</v>
      </c>
      <c r="L238" s="106">
        <v>0</v>
      </c>
      <c r="M238" s="106">
        <v>0</v>
      </c>
      <c r="N238" s="163">
        <v>0</v>
      </c>
      <c r="O238" s="163">
        <v>0</v>
      </c>
      <c r="P238" s="292">
        <v>0</v>
      </c>
      <c r="Q238" s="292">
        <v>0</v>
      </c>
      <c r="R238" s="292">
        <v>0</v>
      </c>
      <c r="S238" s="292">
        <v>123.729</v>
      </c>
      <c r="T238" s="292">
        <v>0</v>
      </c>
      <c r="V238" s="117" t="s">
        <v>457</v>
      </c>
      <c r="W238" s="292">
        <v>371.18700000000001</v>
      </c>
      <c r="X238" s="292">
        <v>247.458</v>
      </c>
      <c r="Y238" s="292">
        <v>123.729</v>
      </c>
      <c r="Z238" s="292">
        <v>0</v>
      </c>
      <c r="AA238" s="292">
        <v>371.18700000000001</v>
      </c>
      <c r="AB238" s="292">
        <v>247.458</v>
      </c>
    </row>
    <row r="239" spans="2:28" ht="16.2" thickBot="1">
      <c r="B239" s="117" t="s">
        <v>458</v>
      </c>
      <c r="C239" s="106">
        <v>0</v>
      </c>
      <c r="D239" s="106">
        <v>0</v>
      </c>
      <c r="E239" s="106">
        <v>0</v>
      </c>
      <c r="F239" s="106">
        <v>0</v>
      </c>
      <c r="G239" s="106">
        <v>0</v>
      </c>
      <c r="H239" s="106">
        <v>0</v>
      </c>
      <c r="I239" s="106">
        <v>0</v>
      </c>
      <c r="J239" s="106">
        <v>0</v>
      </c>
      <c r="K239" s="106">
        <v>0</v>
      </c>
      <c r="L239" s="106">
        <v>0</v>
      </c>
      <c r="M239" s="106">
        <v>0</v>
      </c>
      <c r="N239" s="163">
        <v>0</v>
      </c>
      <c r="O239" s="163">
        <v>0</v>
      </c>
      <c r="P239" s="292">
        <v>0</v>
      </c>
      <c r="Q239" s="292">
        <v>47855</v>
      </c>
      <c r="R239" s="292">
        <v>47855</v>
      </c>
      <c r="S239" s="292">
        <v>40101.012000000002</v>
      </c>
      <c r="T239" s="292">
        <v>39711</v>
      </c>
      <c r="V239" s="117" t="s">
        <v>458</v>
      </c>
      <c r="W239" s="292">
        <v>40182.257509999996</v>
      </c>
      <c r="X239" s="292">
        <v>45569.374579999996</v>
      </c>
      <c r="Y239" s="292">
        <v>39349.043279999998</v>
      </c>
      <c r="Z239" s="292">
        <v>39726.192920000001</v>
      </c>
      <c r="AA239" s="292">
        <v>39709.587659999997</v>
      </c>
      <c r="AB239" s="292">
        <v>39696.639999999999</v>
      </c>
    </row>
    <row r="240" spans="2:28" ht="15.6" thickBot="1">
      <c r="B240" s="115" t="s">
        <v>124</v>
      </c>
      <c r="C240" s="120">
        <f>+SUM(C236:C239)</f>
        <v>29996.953999999998</v>
      </c>
      <c r="D240" s="120">
        <f t="shared" ref="D240:R240" si="67">+SUM(D236:D239)</f>
        <v>247848.46</v>
      </c>
      <c r="E240" s="120">
        <f t="shared" si="67"/>
        <v>197767.14610000001</v>
      </c>
      <c r="F240" s="120">
        <f t="shared" si="67"/>
        <v>187844.74799999999</v>
      </c>
      <c r="G240" s="120">
        <f t="shared" si="67"/>
        <v>189436.08230000001</v>
      </c>
      <c r="H240" s="120">
        <f t="shared" si="67"/>
        <v>160521.6489</v>
      </c>
      <c r="I240" s="120">
        <f t="shared" si="67"/>
        <v>148998.71539999999</v>
      </c>
      <c r="J240" s="120">
        <f t="shared" si="67"/>
        <v>136998.1813</v>
      </c>
      <c r="K240" s="120">
        <f t="shared" si="67"/>
        <v>111172.23370000001</v>
      </c>
      <c r="L240" s="120">
        <f t="shared" si="67"/>
        <v>147838.43090000001</v>
      </c>
      <c r="M240" s="120">
        <f t="shared" si="67"/>
        <v>143851.27669999999</v>
      </c>
      <c r="N240" s="120">
        <f t="shared" si="67"/>
        <v>179779.28840000002</v>
      </c>
      <c r="O240" s="120">
        <f t="shared" si="67"/>
        <v>171650</v>
      </c>
      <c r="P240" s="120">
        <f t="shared" si="67"/>
        <v>170329</v>
      </c>
      <c r="Q240" s="120">
        <f t="shared" si="67"/>
        <v>207960</v>
      </c>
      <c r="R240" s="120">
        <f t="shared" si="67"/>
        <v>201129</v>
      </c>
      <c r="S240" s="120">
        <v>42408.561370000003</v>
      </c>
      <c r="T240" s="141">
        <f t="shared" ref="T240" si="68">SUM(T236:T239)</f>
        <v>41712</v>
      </c>
      <c r="V240" s="115" t="s">
        <v>124</v>
      </c>
      <c r="W240" s="141">
        <v>42587.643309999999</v>
      </c>
      <c r="X240" s="141">
        <v>113735.28016999998</v>
      </c>
      <c r="Y240" s="141">
        <v>180285.69301999995</v>
      </c>
      <c r="Z240" s="141">
        <f>+SUM(Z236:Z239)</f>
        <v>182758.10650000002</v>
      </c>
      <c r="AA240" s="141">
        <f>+SUM(AA236:AA239)</f>
        <v>184116.36783999999</v>
      </c>
      <c r="AB240" s="141">
        <v>186302.44300000003</v>
      </c>
    </row>
    <row r="241" spans="1:28" ht="15.6" thickBot="1">
      <c r="B241" s="121" t="s">
        <v>125</v>
      </c>
      <c r="C241" s="122">
        <f>+C234+C240</f>
        <v>34135.413</v>
      </c>
      <c r="D241" s="122">
        <f t="shared" ref="D241:R241" si="69">+D234+D240</f>
        <v>254716.41409999999</v>
      </c>
      <c r="E241" s="122">
        <f t="shared" si="69"/>
        <v>209960.61953000003</v>
      </c>
      <c r="F241" s="122">
        <f t="shared" si="69"/>
        <v>198876.99333</v>
      </c>
      <c r="G241" s="122">
        <f t="shared" si="69"/>
        <v>199334.55185000002</v>
      </c>
      <c r="H241" s="122">
        <f t="shared" si="69"/>
        <v>170792.52806000001</v>
      </c>
      <c r="I241" s="122">
        <f t="shared" si="69"/>
        <v>162767.67994999999</v>
      </c>
      <c r="J241" s="122">
        <f t="shared" si="69"/>
        <v>144594.98426999999</v>
      </c>
      <c r="K241" s="122">
        <f t="shared" si="69"/>
        <v>118711.36685000001</v>
      </c>
      <c r="L241" s="122">
        <f t="shared" si="69"/>
        <v>151928.15858000002</v>
      </c>
      <c r="M241" s="122">
        <f t="shared" si="69"/>
        <v>148011.28704999998</v>
      </c>
      <c r="N241" s="122">
        <f t="shared" si="69"/>
        <v>183574.99572000001</v>
      </c>
      <c r="O241" s="122">
        <f t="shared" si="69"/>
        <v>178593</v>
      </c>
      <c r="P241" s="122">
        <f t="shared" si="69"/>
        <v>177644</v>
      </c>
      <c r="Q241" s="122">
        <f t="shared" si="69"/>
        <v>212973</v>
      </c>
      <c r="R241" s="122">
        <f t="shared" si="69"/>
        <v>206667</v>
      </c>
      <c r="S241" s="122">
        <v>195673.70337999999</v>
      </c>
      <c r="T241" s="142">
        <f t="shared" ref="T241" si="70">T234+T240</f>
        <v>193913</v>
      </c>
      <c r="V241" s="121" t="s">
        <v>125</v>
      </c>
      <c r="W241" s="142">
        <v>201625.46412999998</v>
      </c>
      <c r="X241" s="142">
        <v>205567.74700999999</v>
      </c>
      <c r="Y241" s="142">
        <v>194781.24558999995</v>
      </c>
      <c r="Z241" s="142">
        <f>+Z234+Z240</f>
        <v>191138.55687000003</v>
      </c>
      <c r="AA241" s="142">
        <f>+AA234+AA240</f>
        <v>196399.94193999999</v>
      </c>
      <c r="AB241" s="142">
        <v>196055.97500000003</v>
      </c>
    </row>
    <row r="242" spans="1:28" ht="15.6" thickBot="1">
      <c r="B242" s="123"/>
      <c r="C242" s="124"/>
      <c r="D242" s="124"/>
      <c r="E242" s="124"/>
      <c r="F242" s="124"/>
      <c r="G242" s="124"/>
      <c r="H242" s="124"/>
      <c r="I242" s="124"/>
      <c r="J242" s="124"/>
      <c r="K242" s="124"/>
      <c r="L242" s="124"/>
      <c r="M242" s="124"/>
      <c r="N242" s="143"/>
      <c r="O242" s="143"/>
      <c r="P242" s="143"/>
      <c r="Q242" s="143"/>
      <c r="R242" s="143"/>
      <c r="S242" s="143">
        <v>0</v>
      </c>
      <c r="V242" s="123"/>
    </row>
    <row r="243" spans="1:28" ht="15.6" thickBot="1">
      <c r="B243" s="129" t="s">
        <v>126</v>
      </c>
      <c r="C243" s="128"/>
      <c r="D243" s="128"/>
      <c r="E243" s="128"/>
      <c r="F243" s="128"/>
      <c r="G243" s="128"/>
      <c r="H243" s="128"/>
      <c r="I243" s="128"/>
      <c r="J243" s="128"/>
      <c r="K243" s="128"/>
      <c r="L243" s="128"/>
      <c r="M243" s="128"/>
      <c r="N243" s="146"/>
      <c r="O243" s="146"/>
      <c r="P243" s="146"/>
      <c r="Q243" s="146"/>
      <c r="R243" s="146"/>
      <c r="S243" s="146"/>
      <c r="T243" s="146"/>
      <c r="V243" s="129" t="s">
        <v>126</v>
      </c>
      <c r="W243" s="146"/>
      <c r="X243" s="146"/>
      <c r="Y243" s="146"/>
      <c r="Z243" s="146"/>
      <c r="AA243" s="146"/>
      <c r="AB243" s="146"/>
    </row>
    <row r="244" spans="1:28" ht="16.2" thickBot="1">
      <c r="B244" s="117" t="s">
        <v>459</v>
      </c>
      <c r="C244" s="107">
        <v>21658.947609999999</v>
      </c>
      <c r="D244" s="107">
        <v>21658.947609999999</v>
      </c>
      <c r="E244" s="107">
        <v>21658.947609999999</v>
      </c>
      <c r="F244" s="107">
        <v>21658.947609999999</v>
      </c>
      <c r="G244" s="107">
        <v>21658.947609999999</v>
      </c>
      <c r="H244" s="107">
        <v>21658.947609999999</v>
      </c>
      <c r="I244" s="107">
        <v>21658.947609999999</v>
      </c>
      <c r="J244" s="107">
        <v>21658.947609999999</v>
      </c>
      <c r="K244" s="107">
        <v>21658.947609999999</v>
      </c>
      <c r="L244" s="107">
        <v>21658.947609999999</v>
      </c>
      <c r="M244" s="107">
        <v>21658.947609999999</v>
      </c>
      <c r="N244" s="163">
        <f>21658947.61/1000</f>
        <v>21658.947609999999</v>
      </c>
      <c r="O244" s="163">
        <v>21659</v>
      </c>
      <c r="P244" s="292">
        <v>21659</v>
      </c>
      <c r="Q244" s="292">
        <v>21659</v>
      </c>
      <c r="R244" s="292">
        <v>21659</v>
      </c>
      <c r="S244" s="292">
        <v>21658.947609999999</v>
      </c>
      <c r="T244" s="292">
        <v>21658.947609999999</v>
      </c>
      <c r="V244" s="117" t="s">
        <v>459</v>
      </c>
      <c r="W244" s="292">
        <v>21658.947609999999</v>
      </c>
      <c r="X244" s="292">
        <v>21658.947609999999</v>
      </c>
      <c r="Y244" s="292">
        <v>21658.947609999999</v>
      </c>
      <c r="Z244" s="292">
        <v>21658.947609999999</v>
      </c>
      <c r="AA244" s="292">
        <v>21658.947609999999</v>
      </c>
      <c r="AB244" s="292">
        <v>21658.948</v>
      </c>
    </row>
    <row r="245" spans="1:28" ht="16.2" thickBot="1">
      <c r="B245" s="117" t="s">
        <v>460</v>
      </c>
      <c r="C245" s="107">
        <v>780.92529999999999</v>
      </c>
      <c r="D245" s="107">
        <v>780.92529999999999</v>
      </c>
      <c r="E245" s="107">
        <v>780.92529999999999</v>
      </c>
      <c r="F245" s="107">
        <v>780.92529999999999</v>
      </c>
      <c r="G245" s="107">
        <v>780.92529999999999</v>
      </c>
      <c r="H245" s="107">
        <v>780.92529999999999</v>
      </c>
      <c r="I245" s="107">
        <v>780.92529999999999</v>
      </c>
      <c r="J245" s="107">
        <v>780.92529999999999</v>
      </c>
      <c r="K245" s="107">
        <v>780.92529999999999</v>
      </c>
      <c r="L245" s="107">
        <v>780.92529999999999</v>
      </c>
      <c r="M245" s="107">
        <v>780.92529999999999</v>
      </c>
      <c r="N245" s="107">
        <v>780.92529999999999</v>
      </c>
      <c r="O245" s="163">
        <v>78</v>
      </c>
      <c r="P245" s="292">
        <v>78</v>
      </c>
      <c r="Q245" s="292">
        <v>81</v>
      </c>
      <c r="R245" s="292">
        <v>81</v>
      </c>
      <c r="S245" s="292">
        <v>81.005529999999993</v>
      </c>
      <c r="T245" s="292">
        <v>81.005529999999993</v>
      </c>
      <c r="V245" s="117" t="s">
        <v>460</v>
      </c>
      <c r="W245" s="292">
        <v>81.005529999999993</v>
      </c>
      <c r="X245" s="292">
        <v>81.005529999999993</v>
      </c>
      <c r="Y245" s="292">
        <v>81.005529999999993</v>
      </c>
      <c r="Z245" s="292">
        <v>81.005529999999993</v>
      </c>
      <c r="AA245" s="292">
        <v>81.005529999999993</v>
      </c>
      <c r="AB245" s="292">
        <v>81.006</v>
      </c>
    </row>
    <row r="246" spans="1:28" ht="16.2" thickBot="1">
      <c r="B246" s="117" t="s">
        <v>461</v>
      </c>
      <c r="C246" s="107">
        <v>4331.7899800000005</v>
      </c>
      <c r="D246" s="107">
        <v>4331.7899800000005</v>
      </c>
      <c r="E246" s="107">
        <v>4331.7899800000005</v>
      </c>
      <c r="F246" s="107">
        <v>4331.7899800000005</v>
      </c>
      <c r="G246" s="107">
        <v>4331.7899800000005</v>
      </c>
      <c r="H246" s="107">
        <v>4331.7899800000005</v>
      </c>
      <c r="I246" s="107">
        <v>4331.7899800000005</v>
      </c>
      <c r="J246" s="107">
        <v>4331.7899800000005</v>
      </c>
      <c r="K246" s="107">
        <v>4331.7899800000005</v>
      </c>
      <c r="L246" s="107">
        <v>4331.7899800000005</v>
      </c>
      <c r="M246" s="107">
        <v>4331.7899800000005</v>
      </c>
      <c r="N246" s="107">
        <v>4331.7899800000005</v>
      </c>
      <c r="O246" s="163">
        <v>4332</v>
      </c>
      <c r="P246" s="292">
        <v>4332</v>
      </c>
      <c r="Q246" s="292">
        <v>4332</v>
      </c>
      <c r="R246" s="292">
        <v>4332</v>
      </c>
      <c r="S246" s="292">
        <v>4331.7899800000005</v>
      </c>
      <c r="T246" s="292">
        <v>4331.7899800000005</v>
      </c>
      <c r="V246" s="117" t="s">
        <v>461</v>
      </c>
      <c r="W246" s="292">
        <v>4331.7899800000005</v>
      </c>
      <c r="X246" s="292">
        <v>4331.7899800000005</v>
      </c>
      <c r="Y246" s="292">
        <v>4331.7899800000005</v>
      </c>
      <c r="Z246" s="292">
        <v>4331.7899800000005</v>
      </c>
      <c r="AA246" s="292">
        <v>4331.7899800000005</v>
      </c>
      <c r="AB246" s="292">
        <v>4331.79</v>
      </c>
    </row>
    <row r="247" spans="1:28" ht="16.2" thickBot="1">
      <c r="B247" s="117" t="s">
        <v>462</v>
      </c>
      <c r="C247" s="107">
        <v>6059.3990000000003</v>
      </c>
      <c r="D247" s="107">
        <v>6052.4430000000002</v>
      </c>
      <c r="E247" s="107">
        <v>1626.15625</v>
      </c>
      <c r="F247" s="107">
        <v>3453.6542999999997</v>
      </c>
      <c r="G247" s="107">
        <v>5302.48369</v>
      </c>
      <c r="H247" s="107">
        <v>7401.5309500000003</v>
      </c>
      <c r="I247" s="107">
        <v>2315.2749499999995</v>
      </c>
      <c r="J247" s="107">
        <v>4719.3615799999998</v>
      </c>
      <c r="K247" s="107">
        <v>6597.255470000001</v>
      </c>
      <c r="L247" s="107">
        <v>10067.654049999999</v>
      </c>
      <c r="M247" s="107">
        <v>12090.499020000001</v>
      </c>
      <c r="N247" s="107">
        <v>4083.22111</v>
      </c>
      <c r="O247" s="163">
        <v>5430</v>
      </c>
      <c r="P247" s="292">
        <v>8839</v>
      </c>
      <c r="Q247" s="292">
        <v>12416</v>
      </c>
      <c r="R247" s="292">
        <v>16038</v>
      </c>
      <c r="S247" s="292">
        <v>19162.348959999999</v>
      </c>
      <c r="T247" s="292">
        <v>21860</v>
      </c>
      <c r="V247" s="117" t="s">
        <v>462</v>
      </c>
      <c r="W247" s="292">
        <v>12607.889660000001</v>
      </c>
      <c r="X247" s="292">
        <v>18352.804</v>
      </c>
      <c r="Y247" s="292">
        <v>23349.275260000002</v>
      </c>
      <c r="Z247" s="292">
        <v>23875.498019999999</v>
      </c>
      <c r="AA247" s="292">
        <v>17549.100920000001</v>
      </c>
      <c r="AB247" s="292">
        <v>20194.035359999998</v>
      </c>
    </row>
    <row r="248" spans="1:28" ht="16.2" thickBot="1">
      <c r="B248" s="117" t="s">
        <v>463</v>
      </c>
      <c r="C248" s="106"/>
      <c r="D248" s="106"/>
      <c r="E248" s="106">
        <v>-148</v>
      </c>
      <c r="F248" s="106">
        <v>-200</v>
      </c>
      <c r="G248" s="106">
        <v>-217</v>
      </c>
      <c r="H248" s="106">
        <v>-231</v>
      </c>
      <c r="I248" s="106">
        <v>-382</v>
      </c>
      <c r="J248" s="106">
        <v>-291</v>
      </c>
      <c r="K248" s="106">
        <v>-302</v>
      </c>
      <c r="L248" s="106">
        <v>-274</v>
      </c>
      <c r="M248" s="106">
        <v>-320</v>
      </c>
      <c r="N248" s="163">
        <v>-236</v>
      </c>
      <c r="O248" s="163">
        <v>0</v>
      </c>
      <c r="P248" s="292">
        <v>0</v>
      </c>
      <c r="Q248" s="292">
        <v>0</v>
      </c>
      <c r="R248" s="292">
        <v>0</v>
      </c>
      <c r="S248" s="292">
        <v>-0.29699999999999999</v>
      </c>
      <c r="T248" s="292"/>
      <c r="V248" s="117" t="s">
        <v>463</v>
      </c>
      <c r="W248" s="292">
        <v>-0.27600000000000002</v>
      </c>
      <c r="X248" s="292">
        <v>-0.36199999999999999</v>
      </c>
      <c r="Y248" s="292">
        <v>-0.57599999999999996</v>
      </c>
      <c r="Z248" s="292">
        <v>-0.58399999999999996</v>
      </c>
      <c r="AA248" s="292">
        <v>-0.54500000000000004</v>
      </c>
      <c r="AB248" s="292">
        <v>-2409.3003599999997</v>
      </c>
    </row>
    <row r="249" spans="1:28" ht="15.6" thickBot="1">
      <c r="B249" s="115" t="s">
        <v>135</v>
      </c>
      <c r="C249" s="120">
        <f>+SUM(C244:C248)</f>
        <v>32831.061889999997</v>
      </c>
      <c r="D249" s="120">
        <f t="shared" ref="D249:Q249" si="71">+SUM(D244:D248)</f>
        <v>32824.105889999999</v>
      </c>
      <c r="E249" s="120">
        <f t="shared" si="71"/>
        <v>28249.81914</v>
      </c>
      <c r="F249" s="120">
        <f t="shared" si="71"/>
        <v>30025.317189999998</v>
      </c>
      <c r="G249" s="120">
        <f t="shared" si="71"/>
        <v>31857.146580000001</v>
      </c>
      <c r="H249" s="120">
        <f t="shared" si="71"/>
        <v>33942.19384</v>
      </c>
      <c r="I249" s="120">
        <f t="shared" si="71"/>
        <v>28704.937839999999</v>
      </c>
      <c r="J249" s="120">
        <f t="shared" si="71"/>
        <v>31200.02447</v>
      </c>
      <c r="K249" s="120">
        <f t="shared" si="71"/>
        <v>33066.918360000003</v>
      </c>
      <c r="L249" s="120">
        <f t="shared" si="71"/>
        <v>36565.316939999997</v>
      </c>
      <c r="M249" s="120">
        <f t="shared" si="71"/>
        <v>38542.161910000003</v>
      </c>
      <c r="N249" s="120">
        <f t="shared" si="71"/>
        <v>30618.883999999998</v>
      </c>
      <c r="O249" s="120">
        <f t="shared" si="71"/>
        <v>31499</v>
      </c>
      <c r="P249" s="120">
        <f t="shared" si="71"/>
        <v>34908</v>
      </c>
      <c r="Q249" s="120">
        <f t="shared" si="71"/>
        <v>38488</v>
      </c>
      <c r="R249" s="141">
        <v>42110</v>
      </c>
      <c r="S249" s="141">
        <v>45233.795080000004</v>
      </c>
      <c r="T249" s="141">
        <f t="shared" ref="T249" si="72">SUM(T244:T248)</f>
        <v>47931.743119999999</v>
      </c>
      <c r="V249" s="115" t="s">
        <v>135</v>
      </c>
      <c r="W249" s="141">
        <v>38679.356780000002</v>
      </c>
      <c r="X249" s="141">
        <v>44424.185120000002</v>
      </c>
      <c r="Y249" s="141">
        <v>49420.44238</v>
      </c>
      <c r="Z249" s="141">
        <f>+SUM(Z244:Z248)</f>
        <v>49946.657139999996</v>
      </c>
      <c r="AA249" s="141">
        <f>+SUM(AA244:AA248)</f>
        <v>43620.299039999998</v>
      </c>
      <c r="AB249" s="141">
        <v>43856.478999999999</v>
      </c>
    </row>
    <row r="250" spans="1:28" ht="15.6" thickBot="1">
      <c r="A250" s="48" t="s">
        <v>137</v>
      </c>
      <c r="B250" s="130" t="s">
        <v>136</v>
      </c>
      <c r="C250" s="122">
        <f>+C241+C249</f>
        <v>66966.474889999998</v>
      </c>
      <c r="D250" s="122">
        <f t="shared" ref="D250:R250" si="73">+D241+D249</f>
        <v>287540.51999</v>
      </c>
      <c r="E250" s="122">
        <f t="shared" si="73"/>
        <v>238210.43867000003</v>
      </c>
      <c r="F250" s="122">
        <f t="shared" si="73"/>
        <v>228902.31052</v>
      </c>
      <c r="G250" s="122">
        <f t="shared" si="73"/>
        <v>231191.69843000002</v>
      </c>
      <c r="H250" s="122">
        <f t="shared" si="73"/>
        <v>204734.7219</v>
      </c>
      <c r="I250" s="122">
        <f t="shared" si="73"/>
        <v>191472.61778999999</v>
      </c>
      <c r="J250" s="122">
        <f t="shared" si="73"/>
        <v>175795.00873999999</v>
      </c>
      <c r="K250" s="122">
        <f t="shared" si="73"/>
        <v>151778.28521</v>
      </c>
      <c r="L250" s="122">
        <f t="shared" si="73"/>
        <v>188493.47552000001</v>
      </c>
      <c r="M250" s="122">
        <f t="shared" si="73"/>
        <v>186553.44895999998</v>
      </c>
      <c r="N250" s="122">
        <f t="shared" si="73"/>
        <v>214193.87972</v>
      </c>
      <c r="O250" s="122">
        <f t="shared" si="73"/>
        <v>210092</v>
      </c>
      <c r="P250" s="122">
        <f t="shared" si="73"/>
        <v>212552</v>
      </c>
      <c r="Q250" s="122">
        <f t="shared" si="73"/>
        <v>251461</v>
      </c>
      <c r="R250" s="122">
        <f t="shared" si="73"/>
        <v>248777</v>
      </c>
      <c r="S250" s="122">
        <v>240907.49846</v>
      </c>
      <c r="T250" s="142">
        <f t="shared" ref="T250" si="74">T241+T249</f>
        <v>241844.74312</v>
      </c>
      <c r="V250" s="130" t="s">
        <v>136</v>
      </c>
      <c r="W250" s="142">
        <v>240304.82090999998</v>
      </c>
      <c r="X250" s="142">
        <v>249991.93213</v>
      </c>
      <c r="Y250" s="142">
        <v>244201.68796999994</v>
      </c>
      <c r="Z250" s="142">
        <f>+Z249+Z241</f>
        <v>241085.21401000003</v>
      </c>
      <c r="AA250" s="142">
        <f>+AA249+AA241</f>
        <v>240020.24098</v>
      </c>
      <c r="AB250" s="142">
        <v>239912.45400000003</v>
      </c>
    </row>
    <row r="251" spans="1:28" s="36" customFormat="1" ht="15.6">
      <c r="B251" s="40"/>
      <c r="C251" s="41"/>
      <c r="D251" s="41"/>
      <c r="E251" s="41"/>
      <c r="F251" s="41"/>
      <c r="G251" s="41"/>
      <c r="H251" s="41"/>
      <c r="I251" s="41"/>
      <c r="J251" s="41"/>
      <c r="K251" s="41"/>
      <c r="L251" s="41"/>
      <c r="M251" s="41"/>
      <c r="N251" s="41"/>
      <c r="O251" s="41">
        <v>0</v>
      </c>
      <c r="P251" s="627"/>
      <c r="R251" s="111">
        <v>0</v>
      </c>
      <c r="S251" s="111"/>
      <c r="V251"/>
    </row>
    <row r="252" spans="1:28" s="36" customFormat="1" ht="15" thickBot="1">
      <c r="B252" s="42"/>
      <c r="C252" s="442">
        <f>+C220-C241-C249</f>
        <v>-9.2889999999897555E-2</v>
      </c>
      <c r="D252" s="442">
        <f t="shared" ref="D252:Q252" si="75">+D220-D241-D249</f>
        <v>-0.65024999994056998</v>
      </c>
      <c r="E252" s="442">
        <f t="shared" si="75"/>
        <v>-0.61026000000856584</v>
      </c>
      <c r="F252" s="442">
        <f t="shared" si="75"/>
        <v>-0.4719699999805016</v>
      </c>
      <c r="G252" s="442">
        <f t="shared" si="75"/>
        <v>0.30315999998128973</v>
      </c>
      <c r="H252" s="442">
        <f t="shared" si="75"/>
        <v>0.27621999999246327</v>
      </c>
      <c r="I252" s="442">
        <f t="shared" si="75"/>
        <v>-0.10662999999476597</v>
      </c>
      <c r="J252" s="442">
        <f t="shared" si="75"/>
        <v>-0.63293999997767969</v>
      </c>
      <c r="K252" s="442">
        <f t="shared" si="75"/>
        <v>-0.3031000000264612</v>
      </c>
      <c r="L252" s="442">
        <f t="shared" si="75"/>
        <v>8.1419999994977843E-2</v>
      </c>
      <c r="M252" s="442">
        <f t="shared" si="75"/>
        <v>-0.49079999997775303</v>
      </c>
      <c r="N252" s="442">
        <f t="shared" si="75"/>
        <v>0.42967000000498956</v>
      </c>
      <c r="O252" s="442">
        <f t="shared" si="75"/>
        <v>0</v>
      </c>
      <c r="P252" s="442">
        <f t="shared" si="75"/>
        <v>0</v>
      </c>
      <c r="Q252" s="442">
        <f t="shared" si="75"/>
        <v>0</v>
      </c>
      <c r="R252" s="43">
        <v>0</v>
      </c>
      <c r="S252" s="43"/>
      <c r="V252"/>
    </row>
    <row r="253" spans="1:28" s="36" customFormat="1" ht="15" thickBot="1">
      <c r="B253" s="44"/>
      <c r="C253" s="45"/>
      <c r="D253" s="45"/>
      <c r="E253" s="45"/>
      <c r="F253" s="45"/>
      <c r="G253" s="45"/>
      <c r="H253" s="45"/>
      <c r="I253" s="45"/>
      <c r="J253" s="45"/>
      <c r="K253" s="45"/>
      <c r="L253" s="45"/>
      <c r="M253" s="45"/>
      <c r="N253" s="47"/>
      <c r="V253"/>
    </row>
    <row r="254" spans="1:28" s="36" customFormat="1">
      <c r="B254" s="46"/>
      <c r="C254" s="46"/>
      <c r="D254" s="46"/>
      <c r="E254" s="46"/>
      <c r="F254" s="46"/>
      <c r="G254" s="46"/>
      <c r="H254" s="46"/>
      <c r="I254" s="46"/>
      <c r="J254" s="46"/>
      <c r="K254" s="46"/>
      <c r="L254" s="46"/>
      <c r="M254" s="46"/>
      <c r="N254" s="46"/>
      <c r="V254"/>
    </row>
    <row r="255" spans="1:28">
      <c r="B255" s="4"/>
      <c r="C255" s="4"/>
      <c r="D255" s="4"/>
      <c r="E255" s="4"/>
      <c r="F255" s="4"/>
      <c r="G255" s="4"/>
      <c r="H255" s="4"/>
      <c r="I255" s="4"/>
      <c r="J255" s="4"/>
      <c r="K255" s="4"/>
      <c r="L255" s="4"/>
      <c r="M255" s="4"/>
      <c r="N255" s="4"/>
    </row>
    <row r="256" spans="1:28">
      <c r="B256" s="4"/>
      <c r="C256" s="4"/>
      <c r="D256" s="4"/>
      <c r="E256" s="4"/>
      <c r="F256" s="4"/>
      <c r="G256" s="4"/>
      <c r="H256" s="4"/>
      <c r="I256" s="4"/>
      <c r="J256" s="4"/>
      <c r="K256" s="4"/>
      <c r="L256" s="4"/>
      <c r="M256" s="4"/>
      <c r="N256" s="4"/>
    </row>
    <row r="257" spans="2:14">
      <c r="B257" s="4"/>
      <c r="C257" s="4"/>
      <c r="D257" s="4"/>
      <c r="E257" s="4"/>
      <c r="F257" s="4"/>
      <c r="G257" s="4"/>
      <c r="H257" s="4"/>
      <c r="I257" s="4"/>
      <c r="J257" s="4"/>
      <c r="K257" s="4"/>
      <c r="L257" s="4"/>
      <c r="M257" s="4"/>
      <c r="N257" s="4"/>
    </row>
    <row r="258" spans="2:14">
      <c r="B258" s="4"/>
      <c r="C258" s="4"/>
      <c r="D258" s="4"/>
      <c r="E258" s="4"/>
      <c r="F258" s="4"/>
      <c r="G258" s="4"/>
      <c r="H258" s="4"/>
      <c r="I258" s="4"/>
      <c r="J258" s="4"/>
      <c r="K258" s="4"/>
      <c r="L258" s="4"/>
      <c r="M258" s="4"/>
      <c r="N258" s="4"/>
    </row>
    <row r="259" spans="2:14">
      <c r="B259" s="4"/>
      <c r="C259" s="4"/>
      <c r="D259" s="4"/>
      <c r="E259" s="4"/>
      <c r="F259" s="4"/>
      <c r="G259" s="4"/>
      <c r="H259" s="4"/>
      <c r="I259" s="4"/>
      <c r="J259" s="4"/>
      <c r="K259" s="4"/>
      <c r="L259" s="4"/>
      <c r="M259" s="4"/>
      <c r="N259" s="4"/>
    </row>
    <row r="260" spans="2:14">
      <c r="B260" s="4"/>
      <c r="C260" s="4"/>
      <c r="D260" s="4"/>
      <c r="E260" s="4"/>
      <c r="F260" s="4"/>
      <c r="G260" s="4"/>
      <c r="H260" s="4"/>
      <c r="I260" s="4"/>
      <c r="J260" s="4"/>
      <c r="K260" s="4"/>
      <c r="L260" s="4"/>
      <c r="M260" s="4"/>
      <c r="N260" s="4"/>
    </row>
    <row r="261" spans="2:14">
      <c r="B261" s="4"/>
      <c r="C261" s="4"/>
      <c r="D261" s="4"/>
      <c r="E261" s="4"/>
      <c r="F261" s="4"/>
      <c r="G261" s="4"/>
      <c r="H261" s="4"/>
      <c r="I261" s="4"/>
      <c r="J261" s="4"/>
      <c r="K261" s="4"/>
      <c r="L261" s="4"/>
      <c r="M261" s="4"/>
      <c r="N261" s="4"/>
    </row>
    <row r="262" spans="2:14">
      <c r="B262" s="4"/>
      <c r="C262" s="4"/>
      <c r="D262" s="4"/>
      <c r="E262" s="4"/>
      <c r="F262" s="4"/>
      <c r="G262" s="4"/>
      <c r="H262" s="4"/>
      <c r="I262" s="4"/>
      <c r="J262" s="4"/>
      <c r="K262" s="4"/>
      <c r="L262" s="4"/>
      <c r="M262" s="4"/>
      <c r="N262" s="4"/>
    </row>
    <row r="263" spans="2:14">
      <c r="B263" s="4"/>
      <c r="C263" s="4"/>
      <c r="D263" s="4"/>
      <c r="E263" s="4"/>
      <c r="F263" s="4"/>
      <c r="G263" s="4"/>
      <c r="H263" s="4"/>
      <c r="I263" s="4"/>
      <c r="J263" s="4"/>
      <c r="K263" s="4"/>
      <c r="L263" s="4"/>
      <c r="M263" s="4"/>
      <c r="N263" s="4"/>
    </row>
    <row r="264" spans="2:14">
      <c r="B264" s="4"/>
      <c r="C264" s="4"/>
      <c r="D264" s="4"/>
      <c r="E264" s="4"/>
      <c r="F264" s="4"/>
      <c r="G264" s="4"/>
      <c r="H264" s="4"/>
      <c r="I264" s="4"/>
      <c r="J264" s="4"/>
      <c r="K264" s="4"/>
      <c r="L264" s="4"/>
      <c r="M264" s="4"/>
      <c r="N264" s="4"/>
    </row>
    <row r="265" spans="2:14">
      <c r="B265" s="4"/>
      <c r="C265" s="4"/>
      <c r="D265" s="4"/>
      <c r="E265" s="4"/>
      <c r="F265" s="4"/>
      <c r="G265" s="4"/>
      <c r="H265" s="4"/>
      <c r="I265" s="4"/>
      <c r="J265" s="4"/>
      <c r="K265" s="4"/>
      <c r="L265" s="4"/>
      <c r="M265" s="4"/>
      <c r="N265" s="4"/>
    </row>
    <row r="266" spans="2:14">
      <c r="B266" s="4"/>
      <c r="C266" s="4"/>
      <c r="D266" s="4"/>
      <c r="E266" s="4"/>
      <c r="F266" s="4"/>
      <c r="G266" s="4"/>
      <c r="H266" s="4"/>
      <c r="I266" s="4"/>
      <c r="J266" s="4"/>
      <c r="K266" s="4"/>
      <c r="L266" s="4"/>
      <c r="M266" s="4"/>
      <c r="N266" s="4"/>
    </row>
    <row r="267" spans="2:14">
      <c r="B267" s="4"/>
      <c r="C267" s="4"/>
      <c r="D267" s="4"/>
      <c r="E267" s="4"/>
      <c r="F267" s="4"/>
      <c r="G267" s="4"/>
      <c r="H267" s="4"/>
      <c r="I267" s="4"/>
      <c r="J267" s="4"/>
      <c r="K267" s="4"/>
      <c r="L267" s="4"/>
      <c r="M267" s="4"/>
      <c r="N267" s="4"/>
    </row>
    <row r="268" spans="2:14">
      <c r="B268" s="4"/>
      <c r="C268" s="4"/>
      <c r="D268" s="4"/>
      <c r="E268" s="4"/>
      <c r="F268" s="4"/>
      <c r="G268" s="4"/>
      <c r="H268" s="4"/>
      <c r="I268" s="4"/>
      <c r="J268" s="4"/>
      <c r="K268" s="4"/>
      <c r="L268" s="4"/>
      <c r="M268" s="4"/>
      <c r="N268" s="4"/>
    </row>
    <row r="269" spans="2:14">
      <c r="B269" s="4"/>
      <c r="C269" s="4"/>
      <c r="D269" s="4"/>
      <c r="E269" s="4"/>
      <c r="F269" s="4"/>
      <c r="G269" s="4"/>
      <c r="H269" s="4"/>
      <c r="I269" s="4"/>
      <c r="J269" s="4"/>
      <c r="K269" s="4"/>
      <c r="L269" s="4"/>
      <c r="M269" s="4"/>
      <c r="N269" s="4"/>
    </row>
    <row r="270" spans="2:14">
      <c r="B270" s="4"/>
      <c r="C270" s="4"/>
      <c r="D270" s="4"/>
      <c r="E270" s="4"/>
      <c r="F270" s="4"/>
      <c r="G270" s="4"/>
      <c r="H270" s="4"/>
      <c r="I270" s="4"/>
      <c r="J270" s="4"/>
      <c r="K270" s="4"/>
      <c r="L270" s="4"/>
      <c r="M270" s="4"/>
      <c r="N270" s="4"/>
    </row>
    <row r="271" spans="2:14">
      <c r="B271" s="4"/>
      <c r="C271" s="4"/>
      <c r="D271" s="4"/>
      <c r="E271" s="4"/>
      <c r="F271" s="4"/>
      <c r="G271" s="4"/>
      <c r="H271" s="4"/>
      <c r="I271" s="4"/>
      <c r="J271" s="4"/>
      <c r="K271" s="4"/>
      <c r="L271" s="4"/>
      <c r="M271" s="4"/>
      <c r="N271" s="4"/>
    </row>
    <row r="272" spans="2:14">
      <c r="B272" s="4"/>
      <c r="C272" s="4"/>
      <c r="D272" s="4"/>
      <c r="E272" s="4"/>
      <c r="F272" s="4"/>
      <c r="G272" s="4"/>
      <c r="H272" s="4"/>
      <c r="I272" s="4"/>
      <c r="J272" s="4"/>
      <c r="K272" s="4"/>
      <c r="L272" s="4"/>
      <c r="M272" s="4"/>
      <c r="N272" s="4"/>
    </row>
    <row r="273" spans="2:14">
      <c r="B273" s="4"/>
      <c r="C273" s="4"/>
      <c r="D273" s="4"/>
      <c r="E273" s="4"/>
      <c r="F273" s="4"/>
      <c r="G273" s="4"/>
      <c r="H273" s="4"/>
      <c r="I273" s="4"/>
      <c r="J273" s="4"/>
      <c r="K273" s="4"/>
      <c r="L273" s="4"/>
      <c r="M273" s="4"/>
      <c r="N273" s="4"/>
    </row>
    <row r="274" spans="2:14">
      <c r="B274" s="4"/>
      <c r="C274" s="4"/>
      <c r="D274" s="4"/>
      <c r="E274" s="4"/>
      <c r="F274" s="4"/>
      <c r="G274" s="4"/>
      <c r="H274" s="4"/>
      <c r="I274" s="4"/>
      <c r="J274" s="4"/>
      <c r="K274" s="4"/>
      <c r="L274" s="4"/>
      <c r="M274" s="4"/>
      <c r="N274" s="4"/>
    </row>
    <row r="275" spans="2:14">
      <c r="B275" s="4"/>
      <c r="C275" s="4"/>
      <c r="D275" s="4"/>
      <c r="E275" s="4"/>
      <c r="F275" s="4"/>
      <c r="G275" s="4"/>
      <c r="H275" s="4"/>
      <c r="I275" s="4"/>
      <c r="J275" s="4"/>
      <c r="K275" s="4"/>
      <c r="L275" s="4"/>
      <c r="M275" s="4"/>
      <c r="N275" s="4"/>
    </row>
  </sheetData>
  <phoneticPr fontId="194"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AB88"/>
  <sheetViews>
    <sheetView showGridLines="0" zoomScale="90" zoomScaleNormal="90" workbookViewId="0">
      <pane xSplit="2" ySplit="8" topLeftCell="U87" activePane="bottomRight" state="frozen"/>
      <selection pane="topRight" activeCell="C1" sqref="C1"/>
      <selection pane="bottomLeft" activeCell="A9" sqref="A9"/>
      <selection pane="bottomRight" activeCell="AB7" sqref="AB7:AB87"/>
    </sheetView>
  </sheetViews>
  <sheetFormatPr baseColWidth="10" defaultColWidth="11.44140625" defaultRowHeight="14.4"/>
  <cols>
    <col min="1" max="1" width="2.88671875" customWidth="1"/>
    <col min="2" max="2" width="64.88671875" customWidth="1"/>
    <col min="16" max="16" width="13.109375" customWidth="1"/>
    <col min="21" max="21" width="5.6640625" customWidth="1"/>
    <col min="22" max="22" width="60.44140625" bestFit="1" customWidth="1"/>
    <col min="23" max="25" width="9.109375" bestFit="1" customWidth="1"/>
  </cols>
  <sheetData>
    <row r="1" spans="1:28">
      <c r="A1" s="1" t="s">
        <v>37</v>
      </c>
    </row>
    <row r="3" spans="1:28" ht="15.6">
      <c r="A3" s="132"/>
      <c r="B3" s="54" t="s">
        <v>464</v>
      </c>
      <c r="C3" s="29"/>
      <c r="D3" s="29"/>
      <c r="E3" s="30"/>
      <c r="F3" s="29"/>
      <c r="G3" s="29"/>
      <c r="H3" s="29"/>
      <c r="I3" s="29"/>
      <c r="J3" s="30"/>
      <c r="K3" s="29"/>
      <c r="L3" s="29"/>
      <c r="M3" s="29"/>
      <c r="N3" s="29"/>
      <c r="O3" s="29"/>
      <c r="P3" s="29"/>
      <c r="Q3" s="29"/>
      <c r="R3" s="29"/>
      <c r="S3" s="29"/>
    </row>
    <row r="4" spans="1:28" ht="15.6" customHeight="1">
      <c r="A4" s="132"/>
      <c r="B4" s="252" t="s">
        <v>465</v>
      </c>
      <c r="C4" s="132"/>
      <c r="D4" s="132"/>
      <c r="E4" s="132"/>
      <c r="F4" s="132"/>
      <c r="G4" s="132"/>
      <c r="H4" s="132"/>
      <c r="I4" s="132"/>
      <c r="J4" s="132"/>
      <c r="K4" s="132"/>
      <c r="L4" s="132"/>
      <c r="M4" s="132"/>
      <c r="N4" s="132"/>
      <c r="O4" s="132"/>
      <c r="P4" s="4"/>
      <c r="Q4" s="4"/>
      <c r="R4" s="4"/>
      <c r="S4" s="4"/>
    </row>
    <row r="5" spans="1:28" ht="15.6" customHeight="1">
      <c r="A5" s="132"/>
      <c r="B5" s="217"/>
      <c r="C5" s="132"/>
      <c r="D5" s="132"/>
      <c r="E5" s="132"/>
      <c r="F5" s="132"/>
      <c r="G5" s="132"/>
      <c r="H5" s="132"/>
      <c r="I5" s="132"/>
      <c r="J5" s="132"/>
      <c r="K5" s="132"/>
      <c r="L5" s="132"/>
      <c r="M5" s="132"/>
      <c r="N5" s="132"/>
      <c r="O5" s="132"/>
      <c r="P5" s="4"/>
      <c r="Q5" s="4"/>
      <c r="R5" s="4"/>
      <c r="S5" s="4"/>
    </row>
    <row r="6" spans="1:28" ht="15.6">
      <c r="A6" s="132"/>
      <c r="B6" s="31"/>
      <c r="C6" s="31"/>
      <c r="D6" s="31"/>
      <c r="E6" s="31"/>
      <c r="F6" s="31"/>
      <c r="G6" s="31"/>
      <c r="H6" s="31"/>
      <c r="I6" s="31"/>
      <c r="J6" s="31"/>
      <c r="K6" s="31"/>
      <c r="L6" s="31"/>
      <c r="M6" s="31"/>
      <c r="N6" s="31"/>
      <c r="O6" s="31"/>
      <c r="P6" s="31"/>
      <c r="Q6" s="31"/>
      <c r="R6" s="31"/>
      <c r="S6" s="31"/>
    </row>
    <row r="7" spans="1:28" ht="15.6">
      <c r="A7" s="132"/>
      <c r="B7" s="250"/>
      <c r="C7" s="251">
        <v>2016</v>
      </c>
      <c r="D7" s="251">
        <v>2017</v>
      </c>
      <c r="E7" s="251" t="s">
        <v>40</v>
      </c>
      <c r="F7" s="251" t="s">
        <v>41</v>
      </c>
      <c r="G7" s="251" t="s">
        <v>42</v>
      </c>
      <c r="H7" s="251" t="s">
        <v>43</v>
      </c>
      <c r="I7" s="251" t="s">
        <v>44</v>
      </c>
      <c r="J7" s="251" t="s">
        <v>45</v>
      </c>
      <c r="K7" s="251" t="s">
        <v>46</v>
      </c>
      <c r="L7" s="251" t="s">
        <v>47</v>
      </c>
      <c r="M7" s="251" t="s">
        <v>48</v>
      </c>
      <c r="N7" s="251" t="s">
        <v>49</v>
      </c>
      <c r="O7" s="251" t="s">
        <v>50</v>
      </c>
      <c r="P7" s="251" t="s">
        <v>51</v>
      </c>
      <c r="Q7" s="245" t="s">
        <v>52</v>
      </c>
      <c r="R7" s="245" t="s">
        <v>53</v>
      </c>
      <c r="S7" s="245" t="s">
        <v>54</v>
      </c>
      <c r="T7" s="245" t="s">
        <v>55</v>
      </c>
      <c r="W7" s="245" t="s">
        <v>87</v>
      </c>
      <c r="X7" s="245" t="s">
        <v>56</v>
      </c>
      <c r="Y7" s="245" t="s">
        <v>57</v>
      </c>
      <c r="Z7" s="245" t="s">
        <v>1154</v>
      </c>
      <c r="AA7" s="245" t="s">
        <v>1169</v>
      </c>
      <c r="AB7" s="245" t="s">
        <v>1207</v>
      </c>
    </row>
    <row r="8" spans="1:28" ht="6" customHeight="1">
      <c r="A8" s="132"/>
      <c r="B8" s="137"/>
      <c r="C8" s="31"/>
      <c r="D8" s="31"/>
      <c r="E8" s="31"/>
      <c r="F8" s="31"/>
      <c r="G8" s="31"/>
      <c r="H8" s="31"/>
      <c r="I8" s="31"/>
      <c r="J8" s="31"/>
      <c r="K8" s="31"/>
      <c r="L8" s="31"/>
      <c r="M8" s="31"/>
      <c r="N8" s="31"/>
      <c r="O8" s="31"/>
      <c r="P8" s="31"/>
    </row>
    <row r="9" spans="1:28" ht="15.6">
      <c r="A9" s="132"/>
      <c r="B9" s="72" t="s">
        <v>62</v>
      </c>
      <c r="C9" s="107">
        <v>0</v>
      </c>
      <c r="D9" s="107">
        <v>5</v>
      </c>
      <c r="E9" s="107">
        <v>6</v>
      </c>
      <c r="F9" s="107">
        <v>1</v>
      </c>
      <c r="G9" s="107">
        <v>20</v>
      </c>
      <c r="H9" s="107">
        <v>8</v>
      </c>
      <c r="I9" s="107">
        <v>11</v>
      </c>
      <c r="J9" s="107">
        <v>21</v>
      </c>
      <c r="K9" s="107">
        <v>21</v>
      </c>
      <c r="L9" s="107">
        <v>19</v>
      </c>
      <c r="M9" s="107">
        <v>19</v>
      </c>
      <c r="N9" s="107">
        <v>21</v>
      </c>
      <c r="O9" s="107">
        <v>19</v>
      </c>
      <c r="P9" s="107">
        <v>20</v>
      </c>
      <c r="Q9" s="107">
        <v>20</v>
      </c>
      <c r="R9" s="107">
        <v>21</v>
      </c>
      <c r="S9" s="107">
        <v>22</v>
      </c>
      <c r="T9" s="107">
        <v>23</v>
      </c>
      <c r="V9" s="72" t="str">
        <f>+B9</f>
        <v>Ingresos por servicios de transmisión de energía eléctrica</v>
      </c>
      <c r="W9" s="107">
        <v>23</v>
      </c>
      <c r="X9" s="107">
        <v>24</v>
      </c>
      <c r="Y9" s="107">
        <v>23</v>
      </c>
      <c r="Z9" s="33">
        <f>94-W9-X9-Y9</f>
        <v>24</v>
      </c>
      <c r="AA9" s="107">
        <v>24</v>
      </c>
      <c r="AB9" s="107">
        <v>25</v>
      </c>
    </row>
    <row r="10" spans="1:28" ht="15.6">
      <c r="A10" s="132"/>
      <c r="B10" s="72" t="s">
        <v>63</v>
      </c>
      <c r="C10" s="107">
        <v>0</v>
      </c>
      <c r="D10" s="107">
        <v>0</v>
      </c>
      <c r="E10" s="107">
        <v>0</v>
      </c>
      <c r="F10" s="107">
        <v>0</v>
      </c>
      <c r="G10" s="107">
        <v>0</v>
      </c>
      <c r="H10" s="107">
        <v>0</v>
      </c>
      <c r="I10" s="107">
        <v>0</v>
      </c>
      <c r="J10" s="107">
        <v>0</v>
      </c>
      <c r="K10" s="107">
        <v>0</v>
      </c>
      <c r="L10" s="107">
        <v>0</v>
      </c>
      <c r="M10" s="107">
        <v>0</v>
      </c>
      <c r="N10" s="107">
        <v>0</v>
      </c>
      <c r="O10" s="107">
        <v>0</v>
      </c>
      <c r="P10" s="107">
        <v>0</v>
      </c>
      <c r="Q10" s="107"/>
      <c r="R10" s="107">
        <v>0</v>
      </c>
      <c r="S10" s="107">
        <v>0</v>
      </c>
      <c r="T10" s="107">
        <v>0</v>
      </c>
      <c r="V10" s="72" t="str">
        <f>+B10</f>
        <v>Ingresos por cargos de conexión</v>
      </c>
      <c r="W10" s="107">
        <v>0</v>
      </c>
      <c r="X10" s="107">
        <v>0</v>
      </c>
      <c r="Y10" s="107">
        <v>0</v>
      </c>
      <c r="Z10" s="33">
        <f>+AA10-W10-X10-Y10</f>
        <v>0</v>
      </c>
    </row>
    <row r="11" spans="1:28" ht="15.6">
      <c r="A11" s="132"/>
      <c r="B11" s="72" t="s">
        <v>68</v>
      </c>
      <c r="C11" s="107">
        <v>0</v>
      </c>
      <c r="D11" s="107">
        <v>0</v>
      </c>
      <c r="E11" s="107">
        <v>0</v>
      </c>
      <c r="F11" s="107">
        <v>0</v>
      </c>
      <c r="G11" s="107">
        <v>0</v>
      </c>
      <c r="H11" s="107">
        <v>0</v>
      </c>
      <c r="I11" s="107">
        <v>0</v>
      </c>
      <c r="J11" s="107">
        <v>0</v>
      </c>
      <c r="K11" s="107">
        <v>0</v>
      </c>
      <c r="L11" s="107">
        <v>0</v>
      </c>
      <c r="M11" s="107">
        <v>0</v>
      </c>
      <c r="N11" s="107">
        <v>0</v>
      </c>
      <c r="O11" s="107">
        <v>0</v>
      </c>
      <c r="P11" s="107">
        <v>0</v>
      </c>
      <c r="Q11" s="107"/>
      <c r="R11" s="107">
        <v>0</v>
      </c>
      <c r="S11" s="107">
        <v>0</v>
      </c>
      <c r="T11" s="107">
        <v>0</v>
      </c>
      <c r="V11" s="72" t="str">
        <f>+B11</f>
        <v>Otros ingresos operacionales</v>
      </c>
      <c r="W11" s="107">
        <v>0</v>
      </c>
      <c r="X11" s="107">
        <v>0</v>
      </c>
      <c r="Y11" s="107">
        <v>0</v>
      </c>
      <c r="Z11" s="33">
        <f>+AA11-W11-X11-Y11</f>
        <v>0</v>
      </c>
    </row>
    <row r="12" spans="1:28" ht="15.6">
      <c r="A12" s="132"/>
      <c r="B12" s="72" t="s">
        <v>69</v>
      </c>
      <c r="C12" s="107">
        <v>3</v>
      </c>
      <c r="D12" s="107">
        <v>6</v>
      </c>
      <c r="E12" s="107">
        <v>1</v>
      </c>
      <c r="F12" s="107">
        <v>1</v>
      </c>
      <c r="G12" s="107">
        <v>3</v>
      </c>
      <c r="H12" s="107">
        <v>3</v>
      </c>
      <c r="I12" s="107">
        <v>7</v>
      </c>
      <c r="J12" s="107">
        <v>-2</v>
      </c>
      <c r="K12" s="107">
        <v>2</v>
      </c>
      <c r="L12" s="107">
        <v>3</v>
      </c>
      <c r="M12" s="107">
        <v>2</v>
      </c>
      <c r="N12" s="107">
        <v>2</v>
      </c>
      <c r="O12" s="107">
        <v>3</v>
      </c>
      <c r="P12" s="107">
        <v>3</v>
      </c>
      <c r="Q12" s="107">
        <v>4</v>
      </c>
      <c r="R12" s="107">
        <v>4</v>
      </c>
      <c r="S12" s="107">
        <v>6</v>
      </c>
      <c r="T12" s="107">
        <v>8</v>
      </c>
      <c r="V12" s="72" t="str">
        <f>+B12</f>
        <v>Costos y gastos AOM</v>
      </c>
      <c r="W12" s="107">
        <v>10</v>
      </c>
      <c r="X12" s="107">
        <v>4</v>
      </c>
      <c r="Y12" s="107">
        <v>1</v>
      </c>
      <c r="Z12" s="33">
        <v>11</v>
      </c>
      <c r="AA12" s="107">
        <v>5</v>
      </c>
      <c r="AB12" s="107">
        <v>6</v>
      </c>
    </row>
    <row r="13" spans="1:28" ht="15.6">
      <c r="A13" s="132"/>
      <c r="B13" s="74" t="s">
        <v>147</v>
      </c>
      <c r="C13" s="108">
        <v>-3</v>
      </c>
      <c r="D13" s="108">
        <v>-1</v>
      </c>
      <c r="E13" s="108">
        <v>5</v>
      </c>
      <c r="F13" s="108">
        <v>0</v>
      </c>
      <c r="G13" s="108">
        <v>17</v>
      </c>
      <c r="H13" s="108">
        <v>5</v>
      </c>
      <c r="I13" s="108">
        <v>4</v>
      </c>
      <c r="J13" s="108">
        <v>23</v>
      </c>
      <c r="K13" s="108">
        <v>19</v>
      </c>
      <c r="L13" s="108">
        <v>16</v>
      </c>
      <c r="M13" s="108">
        <v>17</v>
      </c>
      <c r="N13" s="108">
        <v>19</v>
      </c>
      <c r="O13" s="108">
        <v>16</v>
      </c>
      <c r="P13" s="108">
        <v>17</v>
      </c>
      <c r="Q13" s="108">
        <v>16</v>
      </c>
      <c r="R13" s="108">
        <v>17</v>
      </c>
      <c r="S13" s="108">
        <v>16</v>
      </c>
      <c r="T13" s="108">
        <v>15</v>
      </c>
      <c r="V13" s="72" t="s">
        <v>71</v>
      </c>
      <c r="W13" s="107">
        <v>10</v>
      </c>
      <c r="X13" s="107">
        <v>8</v>
      </c>
      <c r="Y13" s="107">
        <v>5</v>
      </c>
      <c r="Z13" s="33"/>
      <c r="AA13" s="107">
        <v>8</v>
      </c>
      <c r="AB13" s="107">
        <v>8</v>
      </c>
    </row>
    <row r="14" spans="1:28" ht="15.6">
      <c r="A14" s="132"/>
      <c r="B14" s="71"/>
      <c r="C14" s="8"/>
      <c r="D14" s="8"/>
      <c r="E14" s="8"/>
      <c r="F14" s="164"/>
      <c r="G14" s="8"/>
      <c r="H14" s="8"/>
      <c r="I14" s="8"/>
      <c r="J14" s="8"/>
      <c r="K14" s="8"/>
      <c r="L14" s="8"/>
      <c r="M14" s="8"/>
      <c r="N14" s="8"/>
      <c r="O14" s="8"/>
      <c r="P14" s="8"/>
      <c r="Q14" s="8"/>
      <c r="R14" s="8"/>
      <c r="S14" s="8"/>
      <c r="T14" s="8"/>
      <c r="V14" s="74" t="s">
        <v>148</v>
      </c>
      <c r="W14" s="109">
        <v>3</v>
      </c>
      <c r="X14" s="109">
        <v>12</v>
      </c>
      <c r="Y14" s="109">
        <v>17</v>
      </c>
      <c r="Z14" s="109">
        <f>+Z9-Z12-Z13</f>
        <v>13</v>
      </c>
      <c r="AA14" s="109">
        <f>+AA9-AA12-AA13</f>
        <v>11</v>
      </c>
      <c r="AB14" s="109">
        <v>11</v>
      </c>
    </row>
    <row r="15" spans="1:28" ht="15.6">
      <c r="A15" s="132"/>
      <c r="B15" s="72" t="s">
        <v>71</v>
      </c>
      <c r="C15" s="107">
        <v>0</v>
      </c>
      <c r="D15" s="107">
        <v>1</v>
      </c>
      <c r="E15" s="107">
        <v>1</v>
      </c>
      <c r="F15" s="107">
        <v>0</v>
      </c>
      <c r="G15" s="107">
        <v>1</v>
      </c>
      <c r="H15" s="107">
        <v>7</v>
      </c>
      <c r="I15" s="107">
        <v>3</v>
      </c>
      <c r="J15" s="107">
        <v>3</v>
      </c>
      <c r="K15" s="107">
        <v>7</v>
      </c>
      <c r="L15" s="107">
        <v>7</v>
      </c>
      <c r="M15" s="107">
        <v>7</v>
      </c>
      <c r="N15" s="107">
        <v>9</v>
      </c>
      <c r="O15" s="107">
        <v>6</v>
      </c>
      <c r="P15" s="107">
        <v>7</v>
      </c>
      <c r="Q15" s="107">
        <v>7</v>
      </c>
      <c r="R15" s="107">
        <v>8</v>
      </c>
      <c r="S15" s="107">
        <v>9</v>
      </c>
      <c r="T15" s="107">
        <v>8</v>
      </c>
      <c r="W15" s="107"/>
      <c r="X15" s="107"/>
      <c r="Y15" s="107"/>
      <c r="Z15" s="33"/>
      <c r="AA15" s="33"/>
      <c r="AB15" s="33"/>
    </row>
    <row r="16" spans="1:28" ht="15.6">
      <c r="A16" s="132"/>
      <c r="B16" s="72" t="s">
        <v>74</v>
      </c>
      <c r="C16" s="107">
        <v>0</v>
      </c>
      <c r="D16" s="107">
        <v>0</v>
      </c>
      <c r="E16" s="107">
        <v>0</v>
      </c>
      <c r="F16" s="107">
        <v>0</v>
      </c>
      <c r="G16" s="107">
        <v>0</v>
      </c>
      <c r="H16" s="107">
        <v>0</v>
      </c>
      <c r="I16" s="107">
        <v>0</v>
      </c>
      <c r="J16" s="107">
        <v>0</v>
      </c>
      <c r="K16" s="107">
        <v>0</v>
      </c>
      <c r="L16" s="107">
        <v>0</v>
      </c>
      <c r="M16" s="107">
        <v>0</v>
      </c>
      <c r="N16" s="107">
        <v>0</v>
      </c>
      <c r="O16" s="107">
        <v>0</v>
      </c>
      <c r="P16" s="107">
        <v>0</v>
      </c>
      <c r="Q16" s="107"/>
      <c r="R16" s="107">
        <v>0</v>
      </c>
      <c r="S16" s="107">
        <v>0</v>
      </c>
      <c r="T16" s="107">
        <v>0</v>
      </c>
      <c r="V16" s="72" t="str">
        <f>+B16</f>
        <v>Metodo de participación neto ingreso /(gasto)</v>
      </c>
      <c r="W16" s="107">
        <v>0</v>
      </c>
      <c r="X16" s="107">
        <v>0</v>
      </c>
      <c r="Y16" s="107">
        <v>0</v>
      </c>
      <c r="Z16" s="107">
        <v>0</v>
      </c>
      <c r="AA16" s="107">
        <v>0</v>
      </c>
      <c r="AB16" s="107">
        <v>0</v>
      </c>
    </row>
    <row r="17" spans="1:28" ht="15.6">
      <c r="A17" s="132"/>
      <c r="B17" s="72" t="s">
        <v>75</v>
      </c>
      <c r="C17" s="107">
        <v>0</v>
      </c>
      <c r="D17" s="107">
        <v>0</v>
      </c>
      <c r="E17" s="107">
        <v>0</v>
      </c>
      <c r="F17" s="107">
        <v>0</v>
      </c>
      <c r="G17" s="107">
        <v>0</v>
      </c>
      <c r="H17" s="107">
        <v>1</v>
      </c>
      <c r="I17" s="107">
        <v>0</v>
      </c>
      <c r="J17" s="107">
        <v>0</v>
      </c>
      <c r="K17" s="107">
        <v>0</v>
      </c>
      <c r="L17" s="107">
        <v>0</v>
      </c>
      <c r="M17" s="107">
        <v>0</v>
      </c>
      <c r="N17" s="107">
        <v>0</v>
      </c>
      <c r="O17" s="107">
        <v>0</v>
      </c>
      <c r="P17" s="107">
        <v>0</v>
      </c>
      <c r="Q17" s="107"/>
      <c r="R17" s="107">
        <v>0</v>
      </c>
      <c r="S17" s="107">
        <v>0</v>
      </c>
      <c r="T17" s="107">
        <v>0</v>
      </c>
      <c r="V17" s="72" t="str">
        <f>+B17</f>
        <v>Otros neto ingreso /(gasto)</v>
      </c>
      <c r="W17" s="107">
        <v>0</v>
      </c>
      <c r="X17" s="107">
        <v>0</v>
      </c>
      <c r="Y17" s="107">
        <v>0</v>
      </c>
      <c r="Z17" s="107">
        <v>0</v>
      </c>
      <c r="AA17" s="107">
        <v>0</v>
      </c>
      <c r="AB17" s="107">
        <v>0</v>
      </c>
    </row>
    <row r="18" spans="1:28" ht="15.6">
      <c r="A18" s="132"/>
      <c r="B18" s="74" t="s">
        <v>76</v>
      </c>
      <c r="C18" s="109">
        <v>-3</v>
      </c>
      <c r="D18" s="109">
        <v>-2</v>
      </c>
      <c r="E18" s="109">
        <v>4</v>
      </c>
      <c r="F18" s="109">
        <v>0</v>
      </c>
      <c r="G18" s="109">
        <v>16</v>
      </c>
      <c r="H18" s="109">
        <v>-1</v>
      </c>
      <c r="I18" s="109">
        <v>1</v>
      </c>
      <c r="J18" s="109">
        <v>20</v>
      </c>
      <c r="K18" s="109">
        <v>12</v>
      </c>
      <c r="L18" s="109">
        <v>9</v>
      </c>
      <c r="M18" s="109">
        <v>10</v>
      </c>
      <c r="N18" s="109">
        <v>10</v>
      </c>
      <c r="O18" s="109">
        <v>10</v>
      </c>
      <c r="P18" s="109">
        <v>10</v>
      </c>
      <c r="Q18" s="109">
        <v>9</v>
      </c>
      <c r="R18" s="109">
        <v>9</v>
      </c>
      <c r="S18" s="109">
        <v>7</v>
      </c>
      <c r="T18" s="109">
        <v>7</v>
      </c>
      <c r="V18" s="74" t="s">
        <v>76</v>
      </c>
      <c r="W18" s="109">
        <v>3</v>
      </c>
      <c r="X18" s="109">
        <v>12</v>
      </c>
      <c r="Y18" s="109">
        <v>17</v>
      </c>
      <c r="Z18" s="109">
        <f>+Z14</f>
        <v>13</v>
      </c>
      <c r="AA18" s="109">
        <f>+AA14</f>
        <v>11</v>
      </c>
      <c r="AB18" s="109">
        <v>11</v>
      </c>
    </row>
    <row r="19" spans="1:28" ht="15.6">
      <c r="A19" s="132"/>
      <c r="B19" s="72"/>
      <c r="C19" s="107"/>
      <c r="D19" s="107"/>
      <c r="E19" s="107"/>
      <c r="F19" s="107"/>
      <c r="G19" s="107"/>
      <c r="H19" s="107"/>
      <c r="I19" s="107"/>
      <c r="J19" s="107"/>
      <c r="K19" s="107"/>
      <c r="L19" s="107"/>
      <c r="M19" s="107"/>
      <c r="N19" s="107"/>
      <c r="O19" s="107"/>
      <c r="P19" s="107"/>
      <c r="Q19" s="107"/>
      <c r="R19" s="107">
        <v>0</v>
      </c>
      <c r="S19" s="107">
        <v>0</v>
      </c>
      <c r="T19" s="107">
        <v>0</v>
      </c>
      <c r="Z19" s="33">
        <f>+AA19-W19-X19-Y19</f>
        <v>0</v>
      </c>
      <c r="AA19" s="33"/>
      <c r="AB19" s="33"/>
    </row>
    <row r="20" spans="1:28" ht="15.6">
      <c r="A20" s="132"/>
      <c r="B20" s="72" t="s">
        <v>77</v>
      </c>
      <c r="C20" s="107">
        <v>6</v>
      </c>
      <c r="D20" s="107">
        <v>-3</v>
      </c>
      <c r="E20" s="107">
        <v>0</v>
      </c>
      <c r="F20" s="107">
        <v>-4</v>
      </c>
      <c r="G20" s="107">
        <v>-2</v>
      </c>
      <c r="H20" s="107">
        <v>-6</v>
      </c>
      <c r="I20" s="107">
        <v>-4</v>
      </c>
      <c r="J20" s="107">
        <v>-7</v>
      </c>
      <c r="K20" s="107">
        <v>-10</v>
      </c>
      <c r="L20" s="107">
        <v>-6</v>
      </c>
      <c r="M20" s="107">
        <v>-12</v>
      </c>
      <c r="N20" s="107">
        <v>-9</v>
      </c>
      <c r="O20" s="107">
        <v>-9</v>
      </c>
      <c r="P20" s="107">
        <v>-6</v>
      </c>
      <c r="Q20" s="107">
        <v>-8</v>
      </c>
      <c r="R20" s="107">
        <v>-8</v>
      </c>
      <c r="S20" s="107">
        <v>-6</v>
      </c>
      <c r="T20" s="107">
        <v>-2</v>
      </c>
      <c r="V20" s="72" t="str">
        <f>+B20</f>
        <v>Financiero neto ingreso/(gasto)</v>
      </c>
      <c r="W20" s="107">
        <v>-2</v>
      </c>
      <c r="X20" s="107">
        <v>-19</v>
      </c>
      <c r="Y20" s="107">
        <v>-19</v>
      </c>
      <c r="Z20" s="107">
        <v>-11</v>
      </c>
      <c r="AA20" s="107">
        <v>-9</v>
      </c>
      <c r="AB20" s="107">
        <v>-1</v>
      </c>
    </row>
    <row r="21" spans="1:28" ht="15.6">
      <c r="A21" s="132"/>
      <c r="B21" s="74" t="s">
        <v>78</v>
      </c>
      <c r="C21" s="109">
        <v>3</v>
      </c>
      <c r="D21" s="109">
        <v>-5</v>
      </c>
      <c r="E21" s="109">
        <v>4</v>
      </c>
      <c r="F21" s="109">
        <v>-4</v>
      </c>
      <c r="G21" s="109">
        <v>14</v>
      </c>
      <c r="H21" s="109">
        <v>-7</v>
      </c>
      <c r="I21" s="109">
        <v>-3</v>
      </c>
      <c r="J21" s="109">
        <v>13</v>
      </c>
      <c r="K21" s="109">
        <v>2</v>
      </c>
      <c r="L21" s="109">
        <v>3</v>
      </c>
      <c r="M21" s="109">
        <v>-2</v>
      </c>
      <c r="N21" s="109">
        <v>1</v>
      </c>
      <c r="O21" s="109">
        <v>1</v>
      </c>
      <c r="P21" s="109">
        <v>4</v>
      </c>
      <c r="Q21" s="109">
        <v>1</v>
      </c>
      <c r="R21" s="109">
        <v>1</v>
      </c>
      <c r="S21" s="109">
        <v>1</v>
      </c>
      <c r="T21" s="109">
        <v>5</v>
      </c>
      <c r="V21" s="74" t="str">
        <f t="shared" ref="V21:V24" si="0">+B21</f>
        <v>Utilidad antes de impuestos</v>
      </c>
      <c r="W21" s="109">
        <v>1</v>
      </c>
      <c r="X21" s="109">
        <v>-7</v>
      </c>
      <c r="Y21" s="109">
        <v>-2</v>
      </c>
      <c r="Z21" s="109">
        <f>+Z18+Z20</f>
        <v>2</v>
      </c>
      <c r="AA21" s="109">
        <f>+AA18+AA20</f>
        <v>2</v>
      </c>
      <c r="AB21" s="109">
        <v>10</v>
      </c>
    </row>
    <row r="22" spans="1:28" ht="15.6">
      <c r="A22" s="132"/>
      <c r="B22" s="71"/>
      <c r="C22" s="8"/>
      <c r="D22" s="8"/>
      <c r="E22" s="8"/>
      <c r="F22" s="8"/>
      <c r="G22" s="8"/>
      <c r="H22" s="8"/>
      <c r="I22" s="8"/>
      <c r="J22" s="8"/>
      <c r="K22" s="8"/>
      <c r="L22" s="8"/>
      <c r="M22" s="8"/>
      <c r="N22" s="8"/>
      <c r="O22" s="8"/>
      <c r="P22" s="8"/>
      <c r="Q22" s="8"/>
      <c r="R22" s="8"/>
      <c r="S22" s="8"/>
      <c r="T22" s="8"/>
      <c r="V22" s="71"/>
      <c r="W22" s="71"/>
      <c r="X22" s="71"/>
      <c r="Y22" s="71"/>
      <c r="Z22" s="33"/>
      <c r="AA22" s="33"/>
      <c r="AB22" s="33"/>
    </row>
    <row r="23" spans="1:28" ht="15.6">
      <c r="A23" s="132"/>
      <c r="B23" s="72" t="s">
        <v>79</v>
      </c>
      <c r="C23" s="107">
        <v>1</v>
      </c>
      <c r="D23" s="107">
        <v>-1</v>
      </c>
      <c r="E23" s="107">
        <v>4</v>
      </c>
      <c r="F23" s="107">
        <v>-1</v>
      </c>
      <c r="G23" s="107">
        <v>6</v>
      </c>
      <c r="H23" s="107">
        <v>-13</v>
      </c>
      <c r="I23" s="107">
        <v>-5</v>
      </c>
      <c r="J23" s="107">
        <v>-6</v>
      </c>
      <c r="K23" s="107">
        <v>-5</v>
      </c>
      <c r="L23" s="107">
        <v>19</v>
      </c>
      <c r="M23" s="107">
        <v>0</v>
      </c>
      <c r="N23" s="107">
        <v>0</v>
      </c>
      <c r="O23" s="107">
        <v>0</v>
      </c>
      <c r="P23" s="107">
        <v>0</v>
      </c>
      <c r="Q23" s="107">
        <v>0</v>
      </c>
      <c r="R23" s="107">
        <v>0</v>
      </c>
      <c r="S23" s="107">
        <v>0</v>
      </c>
      <c r="T23" s="107">
        <v>0</v>
      </c>
      <c r="V23" s="72" t="str">
        <f t="shared" si="0"/>
        <v>Provisión impuesto de renta</v>
      </c>
      <c r="W23" s="107">
        <v>0</v>
      </c>
      <c r="X23" s="107">
        <v>-2</v>
      </c>
      <c r="Y23" s="107">
        <v>0</v>
      </c>
      <c r="Z23" s="33" t="s">
        <v>214</v>
      </c>
      <c r="AA23" s="33" t="s">
        <v>214</v>
      </c>
      <c r="AB23" s="33" t="s">
        <v>214</v>
      </c>
    </row>
    <row r="24" spans="1:28" ht="15.6">
      <c r="A24" s="132"/>
      <c r="B24" s="74" t="s">
        <v>82</v>
      </c>
      <c r="C24" s="109">
        <v>2</v>
      </c>
      <c r="D24" s="109">
        <v>-4</v>
      </c>
      <c r="E24" s="109">
        <v>0</v>
      </c>
      <c r="F24" s="109">
        <v>-3</v>
      </c>
      <c r="G24" s="109">
        <v>8</v>
      </c>
      <c r="H24" s="109">
        <v>6</v>
      </c>
      <c r="I24" s="109">
        <v>2</v>
      </c>
      <c r="J24" s="109">
        <v>19</v>
      </c>
      <c r="K24" s="109">
        <v>7</v>
      </c>
      <c r="L24" s="109">
        <v>-16</v>
      </c>
      <c r="M24" s="109">
        <v>-2</v>
      </c>
      <c r="N24" s="109">
        <v>1</v>
      </c>
      <c r="O24" s="109">
        <v>1</v>
      </c>
      <c r="P24" s="109">
        <v>4</v>
      </c>
      <c r="Q24" s="109">
        <v>1</v>
      </c>
      <c r="R24" s="109">
        <v>1</v>
      </c>
      <c r="S24" s="109">
        <v>1</v>
      </c>
      <c r="T24" s="109">
        <v>5</v>
      </c>
      <c r="V24" s="74" t="str">
        <f t="shared" si="0"/>
        <v>Utilidad neta</v>
      </c>
      <c r="W24" s="109">
        <v>1</v>
      </c>
      <c r="X24" s="109">
        <v>-5</v>
      </c>
      <c r="Y24" s="109">
        <v>-2</v>
      </c>
      <c r="Z24" s="109">
        <v>2</v>
      </c>
      <c r="AA24" s="109">
        <v>2</v>
      </c>
      <c r="AB24" s="109">
        <v>2</v>
      </c>
    </row>
    <row r="25" spans="1:28" ht="15.6">
      <c r="A25" s="132"/>
      <c r="B25" s="132"/>
      <c r="C25" s="132"/>
      <c r="D25" s="132"/>
      <c r="E25" s="132"/>
      <c r="F25" s="132"/>
      <c r="G25" s="132"/>
      <c r="H25" s="132"/>
      <c r="I25" s="132"/>
      <c r="J25" s="132"/>
      <c r="K25" s="132"/>
      <c r="L25" s="132"/>
      <c r="M25" s="132"/>
      <c r="N25" s="132"/>
      <c r="O25" s="132"/>
      <c r="P25" s="31"/>
      <c r="Q25" s="31"/>
      <c r="R25" s="31"/>
      <c r="S25" s="31"/>
      <c r="T25" s="31"/>
      <c r="Z25" s="33"/>
    </row>
    <row r="26" spans="1:28" ht="15.6">
      <c r="A26" s="132"/>
      <c r="B26" s="132"/>
      <c r="C26" s="132"/>
      <c r="D26" s="132"/>
      <c r="E26" s="132"/>
      <c r="F26" s="132"/>
      <c r="G26" s="132"/>
      <c r="H26" s="132"/>
      <c r="I26" s="132"/>
      <c r="J26" s="132"/>
      <c r="K26" s="132"/>
      <c r="L26" s="132"/>
      <c r="M26" s="132"/>
      <c r="N26" s="132"/>
      <c r="O26" s="132"/>
      <c r="V26" s="74" t="s">
        <v>84</v>
      </c>
      <c r="W26" s="109">
        <v>19.474485999999999</v>
      </c>
      <c r="X26" s="109">
        <v>19</v>
      </c>
      <c r="Y26" s="109">
        <v>22</v>
      </c>
      <c r="Z26" s="109">
        <f>+Z9-Z12</f>
        <v>13</v>
      </c>
      <c r="AA26" s="109">
        <f>+AA9-AA12</f>
        <v>19</v>
      </c>
      <c r="AB26" s="109">
        <v>19</v>
      </c>
    </row>
    <row r="27" spans="1:28" ht="15.6">
      <c r="A27" s="132"/>
      <c r="B27" s="11" t="s">
        <v>466</v>
      </c>
      <c r="C27" s="132"/>
      <c r="D27" s="132"/>
      <c r="E27" s="132"/>
      <c r="F27" s="132"/>
      <c r="G27" s="132"/>
      <c r="H27" s="11"/>
      <c r="I27" s="11"/>
      <c r="J27" s="11"/>
      <c r="K27" s="11"/>
      <c r="L27" s="11"/>
      <c r="M27" s="11"/>
      <c r="N27" s="11"/>
      <c r="O27" s="11"/>
    </row>
    <row r="28" spans="1:28" ht="15.6">
      <c r="A28" s="132"/>
      <c r="B28" s="252" t="s">
        <v>465</v>
      </c>
      <c r="C28" s="132"/>
      <c r="D28" s="132"/>
      <c r="E28" s="132"/>
      <c r="F28" s="132"/>
      <c r="G28" s="132"/>
      <c r="H28" s="77"/>
      <c r="I28" s="77"/>
      <c r="J28" s="77"/>
      <c r="K28" s="77"/>
      <c r="L28" s="77"/>
      <c r="M28" s="77"/>
      <c r="N28" s="77"/>
      <c r="O28" s="77"/>
    </row>
    <row r="29" spans="1:28" ht="13.05" customHeight="1">
      <c r="A29" s="132"/>
      <c r="B29" s="79"/>
      <c r="C29" s="132"/>
      <c r="D29" s="132"/>
      <c r="E29" s="132"/>
      <c r="F29" s="132"/>
      <c r="G29" s="132"/>
      <c r="H29" s="79"/>
      <c r="I29" s="79"/>
      <c r="J29" s="79"/>
      <c r="K29" s="79"/>
      <c r="L29" s="79"/>
      <c r="M29" s="79"/>
      <c r="N29" s="79"/>
      <c r="O29" s="79"/>
    </row>
    <row r="30" spans="1:28" ht="16.2" thickBot="1">
      <c r="A30" s="132"/>
      <c r="B30" s="250"/>
      <c r="C30" s="251">
        <v>2016</v>
      </c>
      <c r="D30" s="251">
        <v>2017</v>
      </c>
      <c r="E30" s="251" t="s">
        <v>40</v>
      </c>
      <c r="F30" s="251" t="s">
        <v>41</v>
      </c>
      <c r="G30" s="251" t="s">
        <v>42</v>
      </c>
      <c r="H30" s="251" t="s">
        <v>43</v>
      </c>
      <c r="I30" s="251" t="s">
        <v>44</v>
      </c>
      <c r="J30" s="251" t="s">
        <v>45</v>
      </c>
      <c r="K30" s="251" t="s">
        <v>46</v>
      </c>
      <c r="L30" s="251" t="s">
        <v>47</v>
      </c>
      <c r="M30" s="251" t="s">
        <v>48</v>
      </c>
      <c r="N30" s="251" t="s">
        <v>49</v>
      </c>
      <c r="O30" s="251" t="s">
        <v>50</v>
      </c>
      <c r="P30" s="245" t="s">
        <v>51</v>
      </c>
      <c r="Q30" s="245" t="s">
        <v>52</v>
      </c>
      <c r="R30" s="245" t="s">
        <v>53</v>
      </c>
      <c r="S30" s="245" t="s">
        <v>54</v>
      </c>
      <c r="T30" s="245" t="s">
        <v>55</v>
      </c>
      <c r="V30" s="250"/>
      <c r="W30" s="245" t="s">
        <v>87</v>
      </c>
      <c r="X30" s="245" t="s">
        <v>56</v>
      </c>
      <c r="Y30" s="245" t="s">
        <v>57</v>
      </c>
      <c r="Z30" s="245" t="s">
        <v>1154</v>
      </c>
      <c r="AA30" s="245" t="str">
        <f>+AA7</f>
        <v>1T23</v>
      </c>
      <c r="AB30" s="245" t="s">
        <v>1207</v>
      </c>
    </row>
    <row r="31" spans="1:28" ht="15.6">
      <c r="A31" s="132"/>
      <c r="B31" s="165" t="s">
        <v>88</v>
      </c>
      <c r="C31" s="166"/>
      <c r="D31" s="166"/>
      <c r="E31" s="166"/>
      <c r="F31" s="166"/>
      <c r="G31" s="166"/>
      <c r="H31" s="166"/>
      <c r="I31" s="166"/>
      <c r="J31" s="166"/>
      <c r="K31" s="166"/>
      <c r="L31" s="166"/>
      <c r="M31" s="166"/>
      <c r="N31" s="165"/>
      <c r="O31" s="165"/>
      <c r="P31" s="165"/>
      <c r="Q31" s="165"/>
      <c r="R31" s="165"/>
      <c r="S31" s="165"/>
      <c r="T31" s="165"/>
      <c r="V31" s="165" t="s">
        <v>88</v>
      </c>
      <c r="W31" s="165"/>
      <c r="X31" s="165"/>
      <c r="Y31" s="165"/>
      <c r="Z31" s="165"/>
      <c r="AA31" s="165"/>
      <c r="AB31" s="165"/>
    </row>
    <row r="32" spans="1:28" ht="15.6">
      <c r="A32" s="132"/>
      <c r="B32" s="167" t="s">
        <v>89</v>
      </c>
      <c r="C32" s="168"/>
      <c r="D32" s="168"/>
      <c r="E32" s="168"/>
      <c r="F32" s="168"/>
      <c r="G32" s="168"/>
      <c r="H32" s="168"/>
      <c r="I32" s="168"/>
      <c r="J32" s="168"/>
      <c r="K32" s="168"/>
      <c r="L32" s="168"/>
      <c r="M32" s="168"/>
      <c r="N32" s="168"/>
      <c r="O32" s="168"/>
      <c r="P32" s="168"/>
      <c r="Q32" s="168"/>
      <c r="R32" s="168"/>
      <c r="S32" s="168"/>
      <c r="T32" s="168"/>
      <c r="V32" s="167" t="s">
        <v>89</v>
      </c>
      <c r="W32" s="168"/>
      <c r="X32" s="168"/>
      <c r="Y32" s="168"/>
      <c r="Z32" s="168"/>
      <c r="AA32" s="168"/>
      <c r="AB32" s="168"/>
    </row>
    <row r="33" spans="1:28" s="36" customFormat="1" ht="15.6">
      <c r="A33" s="179"/>
      <c r="B33" s="169" t="s">
        <v>90</v>
      </c>
      <c r="C33" s="170">
        <v>35</v>
      </c>
      <c r="D33" s="170">
        <v>0</v>
      </c>
      <c r="E33" s="170">
        <v>20</v>
      </c>
      <c r="F33" s="170">
        <v>6</v>
      </c>
      <c r="G33" s="170">
        <v>1</v>
      </c>
      <c r="H33" s="170">
        <v>1</v>
      </c>
      <c r="I33" s="170">
        <v>2</v>
      </c>
      <c r="J33" s="170">
        <v>1</v>
      </c>
      <c r="K33" s="170">
        <v>1</v>
      </c>
      <c r="L33" s="170">
        <v>1</v>
      </c>
      <c r="M33" s="170">
        <v>1</v>
      </c>
      <c r="N33" s="170">
        <v>1</v>
      </c>
      <c r="O33" s="170">
        <v>1.284</v>
      </c>
      <c r="P33" s="170">
        <v>1</v>
      </c>
      <c r="Q33" s="170">
        <v>1</v>
      </c>
      <c r="R33" s="170">
        <v>0</v>
      </c>
      <c r="S33" s="170">
        <v>333</v>
      </c>
      <c r="T33" s="170">
        <v>314</v>
      </c>
      <c r="V33" s="169" t="s">
        <v>90</v>
      </c>
      <c r="W33" s="170">
        <v>333</v>
      </c>
      <c r="X33" s="170">
        <v>307</v>
      </c>
      <c r="Y33" s="170">
        <v>302</v>
      </c>
      <c r="Z33" s="36">
        <v>302</v>
      </c>
      <c r="AA33" s="36">
        <v>331</v>
      </c>
      <c r="AB33" s="36">
        <v>282</v>
      </c>
    </row>
    <row r="34" spans="1:28" s="36" customFormat="1" ht="15.6">
      <c r="A34" s="179"/>
      <c r="B34" s="169" t="s">
        <v>91</v>
      </c>
      <c r="C34" s="170">
        <v>8</v>
      </c>
      <c r="D34" s="170">
        <v>0</v>
      </c>
      <c r="E34" s="170">
        <v>0</v>
      </c>
      <c r="F34" s="170">
        <v>0</v>
      </c>
      <c r="G34" s="170">
        <v>0</v>
      </c>
      <c r="H34" s="170">
        <v>1</v>
      </c>
      <c r="I34" s="170">
        <v>2</v>
      </c>
      <c r="J34" s="170">
        <v>1</v>
      </c>
      <c r="K34" s="170">
        <v>1</v>
      </c>
      <c r="L34" s="170">
        <v>2</v>
      </c>
      <c r="M34" s="170">
        <v>1</v>
      </c>
      <c r="N34" s="170">
        <v>1</v>
      </c>
      <c r="O34" s="170">
        <v>1.0669999999999999</v>
      </c>
      <c r="P34" s="170">
        <v>12</v>
      </c>
      <c r="Q34" s="170">
        <v>7</v>
      </c>
      <c r="R34" s="170">
        <v>3</v>
      </c>
      <c r="S34" s="170">
        <v>21</v>
      </c>
      <c r="T34" s="170">
        <v>19</v>
      </c>
      <c r="V34" s="169" t="s">
        <v>91</v>
      </c>
      <c r="W34" s="170">
        <v>16</v>
      </c>
      <c r="X34" s="170">
        <v>1</v>
      </c>
      <c r="Y34" s="170">
        <v>75</v>
      </c>
      <c r="Z34" s="36">
        <v>78</v>
      </c>
      <c r="AA34" s="652">
        <v>70</v>
      </c>
      <c r="AB34" s="652">
        <v>1</v>
      </c>
    </row>
    <row r="35" spans="1:28" s="36" customFormat="1" ht="15.6">
      <c r="A35" s="179"/>
      <c r="B35" s="169" t="s">
        <v>92</v>
      </c>
      <c r="C35" s="170">
        <v>53</v>
      </c>
      <c r="D35" s="170">
        <v>16</v>
      </c>
      <c r="E35" s="170">
        <v>21</v>
      </c>
      <c r="F35" s="170">
        <v>30</v>
      </c>
      <c r="G35" s="170">
        <v>28</v>
      </c>
      <c r="H35" s="170">
        <v>29</v>
      </c>
      <c r="I35" s="170">
        <v>7</v>
      </c>
      <c r="J35" s="170">
        <v>8</v>
      </c>
      <c r="K35" s="170">
        <v>7</v>
      </c>
      <c r="L35" s="170">
        <v>4</v>
      </c>
      <c r="M35" s="170">
        <v>1</v>
      </c>
      <c r="N35" s="170">
        <v>2</v>
      </c>
      <c r="O35" s="170">
        <v>1.1859999999999999</v>
      </c>
      <c r="P35" s="170">
        <v>0</v>
      </c>
      <c r="Q35" s="170"/>
      <c r="R35" s="170">
        <v>0</v>
      </c>
      <c r="S35" s="170">
        <v>0</v>
      </c>
      <c r="T35" s="170">
        <v>0</v>
      </c>
      <c r="V35" s="169" t="s">
        <v>92</v>
      </c>
      <c r="W35" s="170" t="s">
        <v>214</v>
      </c>
      <c r="X35" s="170">
        <v>0</v>
      </c>
      <c r="Y35" s="170">
        <v>0</v>
      </c>
      <c r="AA35" s="36">
        <v>1</v>
      </c>
      <c r="AB35" s="36">
        <v>1</v>
      </c>
    </row>
    <row r="36" spans="1:28" s="36" customFormat="1" ht="15.6">
      <c r="A36" s="179"/>
      <c r="B36" s="169" t="s">
        <v>94</v>
      </c>
      <c r="C36" s="170">
        <v>1</v>
      </c>
      <c r="D36" s="170">
        <v>3</v>
      </c>
      <c r="E36" s="170">
        <v>1</v>
      </c>
      <c r="F36" s="170">
        <v>2</v>
      </c>
      <c r="G36" s="170">
        <v>2</v>
      </c>
      <c r="H36" s="170">
        <v>2</v>
      </c>
      <c r="I36" s="170">
        <v>3</v>
      </c>
      <c r="J36" s="170">
        <v>2</v>
      </c>
      <c r="K36" s="170">
        <v>3</v>
      </c>
      <c r="L36" s="170">
        <v>1</v>
      </c>
      <c r="M36" s="170">
        <v>2</v>
      </c>
      <c r="N36" s="170">
        <v>2</v>
      </c>
      <c r="O36" s="170">
        <v>0.59299999999999997</v>
      </c>
      <c r="P36" s="170">
        <v>1</v>
      </c>
      <c r="Q36" s="170">
        <v>7</v>
      </c>
      <c r="R36" s="170">
        <v>4</v>
      </c>
      <c r="S36" s="170">
        <v>5</v>
      </c>
      <c r="T36" s="170">
        <v>5</v>
      </c>
      <c r="V36" s="169" t="s">
        <v>94</v>
      </c>
      <c r="W36" s="170">
        <v>5</v>
      </c>
      <c r="X36" s="170">
        <v>0</v>
      </c>
      <c r="Y36" s="170">
        <v>0</v>
      </c>
    </row>
    <row r="37" spans="1:28" s="36" customFormat="1" ht="15.6">
      <c r="A37" s="179"/>
      <c r="B37" s="169" t="s">
        <v>391</v>
      </c>
      <c r="C37" s="170">
        <v>0</v>
      </c>
      <c r="D37" s="170">
        <v>0</v>
      </c>
      <c r="E37" s="170">
        <v>0</v>
      </c>
      <c r="F37" s="170">
        <v>0</v>
      </c>
      <c r="G37" s="170">
        <v>0</v>
      </c>
      <c r="H37" s="170">
        <v>0</v>
      </c>
      <c r="I37" s="170">
        <v>0</v>
      </c>
      <c r="J37" s="170">
        <v>0</v>
      </c>
      <c r="K37" s="170">
        <v>0</v>
      </c>
      <c r="L37" s="170">
        <v>0</v>
      </c>
      <c r="M37" s="170">
        <v>0</v>
      </c>
      <c r="N37" s="170">
        <v>0</v>
      </c>
      <c r="O37" s="170">
        <v>0</v>
      </c>
      <c r="P37" s="170"/>
      <c r="Q37" s="170"/>
      <c r="R37" s="170"/>
      <c r="S37" s="170">
        <v>0</v>
      </c>
      <c r="T37" s="170">
        <v>0</v>
      </c>
      <c r="V37" s="169" t="s">
        <v>391</v>
      </c>
      <c r="W37" s="170"/>
      <c r="X37" s="170">
        <v>0</v>
      </c>
      <c r="Y37" s="170">
        <v>0</v>
      </c>
    </row>
    <row r="38" spans="1:28" s="36" customFormat="1" ht="15.6">
      <c r="A38" s="179"/>
      <c r="B38" s="169" t="s">
        <v>95</v>
      </c>
      <c r="C38" s="170">
        <v>0</v>
      </c>
      <c r="D38" s="170">
        <v>0</v>
      </c>
      <c r="E38" s="170">
        <v>0</v>
      </c>
      <c r="F38" s="170">
        <v>0</v>
      </c>
      <c r="G38" s="170">
        <v>0</v>
      </c>
      <c r="H38" s="170">
        <v>0</v>
      </c>
      <c r="I38" s="170">
        <v>0</v>
      </c>
      <c r="J38" s="170">
        <v>0</v>
      </c>
      <c r="K38" s="170">
        <v>0</v>
      </c>
      <c r="L38" s="170">
        <v>0</v>
      </c>
      <c r="M38" s="170">
        <v>0</v>
      </c>
      <c r="N38" s="170">
        <v>0</v>
      </c>
      <c r="O38" s="170">
        <v>0</v>
      </c>
      <c r="P38" s="170"/>
      <c r="Q38" s="170"/>
      <c r="R38" s="170"/>
      <c r="S38" s="170">
        <v>0</v>
      </c>
      <c r="T38" s="170">
        <v>0</v>
      </c>
      <c r="V38" s="169" t="s">
        <v>95</v>
      </c>
      <c r="W38" s="170"/>
      <c r="X38" s="170">
        <v>0</v>
      </c>
      <c r="Y38" s="170">
        <v>0</v>
      </c>
      <c r="AB38" s="36">
        <v>50</v>
      </c>
    </row>
    <row r="39" spans="1:28" ht="15.6">
      <c r="A39" s="132"/>
      <c r="B39" s="121" t="s">
        <v>96</v>
      </c>
      <c r="C39" s="171">
        <f t="shared" ref="C39:N39" si="1">SUM(C33:C38)</f>
        <v>97</v>
      </c>
      <c r="D39" s="171">
        <f t="shared" si="1"/>
        <v>19</v>
      </c>
      <c r="E39" s="171">
        <f t="shared" si="1"/>
        <v>42</v>
      </c>
      <c r="F39" s="171">
        <f t="shared" si="1"/>
        <v>38</v>
      </c>
      <c r="G39" s="171">
        <f t="shared" si="1"/>
        <v>31</v>
      </c>
      <c r="H39" s="171">
        <f t="shared" si="1"/>
        <v>33</v>
      </c>
      <c r="I39" s="171">
        <f t="shared" si="1"/>
        <v>14</v>
      </c>
      <c r="J39" s="171">
        <f t="shared" si="1"/>
        <v>12</v>
      </c>
      <c r="K39" s="171">
        <f t="shared" si="1"/>
        <v>12</v>
      </c>
      <c r="L39" s="171">
        <f t="shared" si="1"/>
        <v>8</v>
      </c>
      <c r="M39" s="171">
        <f t="shared" si="1"/>
        <v>5</v>
      </c>
      <c r="N39" s="171">
        <f t="shared" si="1"/>
        <v>6</v>
      </c>
      <c r="O39" s="171">
        <v>4.13</v>
      </c>
      <c r="P39" s="171">
        <f>SUM(P33:P38)</f>
        <v>14</v>
      </c>
      <c r="Q39" s="171">
        <v>9</v>
      </c>
      <c r="R39" s="171">
        <v>7</v>
      </c>
      <c r="S39" s="171">
        <v>359</v>
      </c>
      <c r="T39" s="171">
        <v>338</v>
      </c>
      <c r="V39" s="121" t="s">
        <v>96</v>
      </c>
      <c r="W39" s="171">
        <v>354</v>
      </c>
      <c r="X39" s="171">
        <v>308</v>
      </c>
      <c r="Y39" s="171">
        <v>377</v>
      </c>
      <c r="Z39" s="171">
        <f>SUM(Z33:Z38)</f>
        <v>380</v>
      </c>
      <c r="AA39" s="171">
        <f>SUM(AA33:AA38)</f>
        <v>402</v>
      </c>
      <c r="AB39" s="171">
        <v>334</v>
      </c>
    </row>
    <row r="40" spans="1:28" ht="15.6">
      <c r="A40" s="132"/>
      <c r="B40" s="167" t="s">
        <v>97</v>
      </c>
      <c r="C40" s="168"/>
      <c r="D40" s="168"/>
      <c r="E40" s="168"/>
      <c r="F40" s="168"/>
      <c r="G40" s="168"/>
      <c r="H40" s="168"/>
      <c r="I40" s="168"/>
      <c r="J40" s="168"/>
      <c r="K40" s="168"/>
      <c r="L40" s="168"/>
      <c r="M40" s="168"/>
      <c r="N40" s="168"/>
      <c r="O40" s="168">
        <v>0</v>
      </c>
      <c r="P40" s="168"/>
      <c r="Q40" s="168"/>
      <c r="R40" s="168"/>
      <c r="S40" s="168">
        <v>0</v>
      </c>
      <c r="T40" s="168">
        <v>0</v>
      </c>
      <c r="V40" s="167" t="s">
        <v>97</v>
      </c>
      <c r="W40" s="168"/>
      <c r="X40" s="168"/>
      <c r="Y40" s="168"/>
      <c r="Z40" s="168"/>
      <c r="AA40" s="168"/>
      <c r="AB40" s="168"/>
    </row>
    <row r="41" spans="1:28" s="36" customFormat="1" ht="15.6">
      <c r="A41" s="179"/>
      <c r="B41" s="169" t="s">
        <v>98</v>
      </c>
      <c r="C41" s="170">
        <v>4</v>
      </c>
      <c r="D41" s="170">
        <v>3</v>
      </c>
      <c r="E41" s="170">
        <v>9</v>
      </c>
      <c r="F41" s="170">
        <v>22</v>
      </c>
      <c r="G41" s="170">
        <v>11</v>
      </c>
      <c r="H41" s="170">
        <v>86</v>
      </c>
      <c r="I41" s="170">
        <v>64</v>
      </c>
      <c r="J41" s="170">
        <v>44</v>
      </c>
      <c r="K41" s="170">
        <v>19</v>
      </c>
      <c r="L41" s="170">
        <v>15</v>
      </c>
      <c r="M41" s="170">
        <v>8</v>
      </c>
      <c r="N41" s="170">
        <v>85</v>
      </c>
      <c r="O41" s="170">
        <v>49.622</v>
      </c>
      <c r="P41" s="170">
        <v>52</v>
      </c>
      <c r="Q41" s="170">
        <v>54</v>
      </c>
      <c r="R41" s="170">
        <v>57</v>
      </c>
      <c r="S41" s="170">
        <v>11</v>
      </c>
      <c r="T41" s="170">
        <v>23</v>
      </c>
      <c r="V41" s="169" t="s">
        <v>98</v>
      </c>
      <c r="W41" s="170">
        <v>24</v>
      </c>
      <c r="X41" s="170">
        <v>43</v>
      </c>
      <c r="Y41" s="170">
        <v>0</v>
      </c>
      <c r="AB41" s="36">
        <v>54</v>
      </c>
    </row>
    <row r="42" spans="1:28" s="36" customFormat="1" ht="15.6">
      <c r="A42" s="179"/>
      <c r="B42" s="169" t="s">
        <v>99</v>
      </c>
      <c r="C42" s="170">
        <v>0</v>
      </c>
      <c r="D42" s="170">
        <v>0</v>
      </c>
      <c r="E42" s="170">
        <v>0</v>
      </c>
      <c r="F42" s="170">
        <v>0</v>
      </c>
      <c r="G42" s="170">
        <v>0</v>
      </c>
      <c r="H42" s="170">
        <v>0</v>
      </c>
      <c r="I42" s="170">
        <v>0</v>
      </c>
      <c r="J42" s="170">
        <v>0</v>
      </c>
      <c r="K42" s="170">
        <v>0</v>
      </c>
      <c r="L42" s="170">
        <v>0</v>
      </c>
      <c r="M42" s="170">
        <v>0</v>
      </c>
      <c r="N42" s="170">
        <v>0</v>
      </c>
      <c r="O42" s="170">
        <v>0</v>
      </c>
      <c r="P42" s="170"/>
      <c r="Q42" s="170"/>
      <c r="R42" s="170">
        <v>0</v>
      </c>
      <c r="S42" s="170">
        <v>0</v>
      </c>
      <c r="T42" s="170">
        <v>0</v>
      </c>
      <c r="V42" s="169" t="s">
        <v>99</v>
      </c>
      <c r="W42" s="170">
        <v>0</v>
      </c>
      <c r="X42" s="170">
        <v>0</v>
      </c>
      <c r="Y42" s="170">
        <v>0</v>
      </c>
    </row>
    <row r="43" spans="1:28" s="36" customFormat="1" ht="15.9" customHeight="1">
      <c r="A43" s="179"/>
      <c r="B43" s="169" t="s">
        <v>150</v>
      </c>
      <c r="C43" s="170">
        <v>0</v>
      </c>
      <c r="D43" s="170">
        <v>0</v>
      </c>
      <c r="E43" s="170">
        <v>0</v>
      </c>
      <c r="F43" s="170">
        <v>0</v>
      </c>
      <c r="G43" s="170">
        <v>0</v>
      </c>
      <c r="H43" s="170">
        <v>0</v>
      </c>
      <c r="I43" s="170">
        <v>0</v>
      </c>
      <c r="J43" s="170">
        <v>0</v>
      </c>
      <c r="K43" s="170">
        <v>0</v>
      </c>
      <c r="L43" s="170">
        <v>0</v>
      </c>
      <c r="M43" s="170">
        <v>0</v>
      </c>
      <c r="N43" s="170">
        <v>0</v>
      </c>
      <c r="O43" s="170">
        <v>0</v>
      </c>
      <c r="P43" s="170"/>
      <c r="Q43" s="170"/>
      <c r="R43" s="170">
        <v>0</v>
      </c>
      <c r="S43" s="170">
        <v>0</v>
      </c>
      <c r="T43" s="170">
        <v>0</v>
      </c>
      <c r="V43" s="169" t="s">
        <v>150</v>
      </c>
      <c r="W43" s="170">
        <v>0</v>
      </c>
      <c r="X43" s="170">
        <v>0</v>
      </c>
      <c r="Y43" s="170">
        <v>0</v>
      </c>
    </row>
    <row r="44" spans="1:28" s="36" customFormat="1" ht="15.6">
      <c r="A44" s="179"/>
      <c r="B44" s="169" t="s">
        <v>151</v>
      </c>
      <c r="C44" s="170">
        <v>0</v>
      </c>
      <c r="D44" s="170">
        <v>0</v>
      </c>
      <c r="E44" s="170">
        <v>0</v>
      </c>
      <c r="F44" s="170">
        <v>0</v>
      </c>
      <c r="G44" s="170">
        <v>0</v>
      </c>
      <c r="H44" s="170">
        <v>0</v>
      </c>
      <c r="I44" s="170">
        <v>0</v>
      </c>
      <c r="J44" s="170">
        <v>0</v>
      </c>
      <c r="K44" s="170">
        <v>0</v>
      </c>
      <c r="L44" s="170">
        <v>0</v>
      </c>
      <c r="M44" s="170">
        <v>0</v>
      </c>
      <c r="N44" s="170">
        <v>0</v>
      </c>
      <c r="O44" s="170">
        <v>0</v>
      </c>
      <c r="P44" s="170"/>
      <c r="Q44" s="170"/>
      <c r="R44" s="170">
        <v>0</v>
      </c>
      <c r="S44" s="170">
        <v>0</v>
      </c>
      <c r="T44" s="170">
        <v>0</v>
      </c>
      <c r="V44" s="169" t="s">
        <v>151</v>
      </c>
      <c r="W44" s="170">
        <v>0</v>
      </c>
      <c r="X44" s="170">
        <v>0</v>
      </c>
      <c r="Y44" s="170">
        <v>0</v>
      </c>
    </row>
    <row r="45" spans="1:28" s="36" customFormat="1" ht="15.6">
      <c r="A45" s="179"/>
      <c r="B45" s="169" t="s">
        <v>91</v>
      </c>
      <c r="C45" s="170">
        <v>0</v>
      </c>
      <c r="D45" s="170">
        <v>1</v>
      </c>
      <c r="E45" s="170">
        <v>2</v>
      </c>
      <c r="F45" s="170">
        <v>1</v>
      </c>
      <c r="G45" s="170">
        <v>14</v>
      </c>
      <c r="H45" s="170">
        <v>8</v>
      </c>
      <c r="I45" s="170">
        <v>4</v>
      </c>
      <c r="J45" s="170">
        <v>10</v>
      </c>
      <c r="K45" s="170">
        <v>11</v>
      </c>
      <c r="L45" s="170">
        <v>14</v>
      </c>
      <c r="M45" s="170">
        <v>21</v>
      </c>
      <c r="N45" s="170">
        <v>28</v>
      </c>
      <c r="O45" s="170">
        <v>30.213000000000001</v>
      </c>
      <c r="P45" s="170">
        <v>34</v>
      </c>
      <c r="Q45" s="170">
        <v>32</v>
      </c>
      <c r="R45" s="170">
        <v>29</v>
      </c>
      <c r="S45" s="170">
        <v>1</v>
      </c>
      <c r="T45" s="170">
        <v>1</v>
      </c>
      <c r="V45" s="169" t="s">
        <v>91</v>
      </c>
      <c r="W45" s="170">
        <v>0</v>
      </c>
      <c r="X45" s="170">
        <v>10</v>
      </c>
      <c r="Y45" s="170">
        <v>0</v>
      </c>
      <c r="AA45" s="36">
        <v>1</v>
      </c>
      <c r="AB45" s="36">
        <v>26</v>
      </c>
    </row>
    <row r="46" spans="1:28" s="36" customFormat="1" ht="15.6">
      <c r="A46" s="179"/>
      <c r="B46" s="169" t="s">
        <v>102</v>
      </c>
      <c r="C46" s="170">
        <v>0</v>
      </c>
      <c r="D46" s="170">
        <v>0</v>
      </c>
      <c r="E46" s="170">
        <v>0</v>
      </c>
      <c r="F46" s="170">
        <v>0</v>
      </c>
      <c r="G46" s="170">
        <v>0</v>
      </c>
      <c r="H46" s="170">
        <v>0</v>
      </c>
      <c r="I46" s="170">
        <v>0</v>
      </c>
      <c r="J46" s="170">
        <v>0</v>
      </c>
      <c r="K46" s="170">
        <v>0</v>
      </c>
      <c r="L46" s="170">
        <v>0</v>
      </c>
      <c r="M46" s="170">
        <v>0</v>
      </c>
      <c r="N46" s="170">
        <v>0</v>
      </c>
      <c r="O46" s="170">
        <v>0</v>
      </c>
      <c r="P46" s="170"/>
      <c r="Q46" s="170"/>
      <c r="R46" s="170">
        <v>0</v>
      </c>
      <c r="S46" s="170">
        <v>0</v>
      </c>
      <c r="T46" s="170">
        <v>0</v>
      </c>
      <c r="V46" s="169" t="s">
        <v>102</v>
      </c>
      <c r="W46" s="170">
        <v>0</v>
      </c>
      <c r="X46" s="170">
        <v>0</v>
      </c>
      <c r="Y46" s="170">
        <v>0</v>
      </c>
    </row>
    <row r="47" spans="1:28" s="36" customFormat="1" ht="15.6">
      <c r="A47" s="179"/>
      <c r="B47" s="169" t="s">
        <v>103</v>
      </c>
      <c r="C47" s="170">
        <v>484</v>
      </c>
      <c r="D47" s="170">
        <v>740</v>
      </c>
      <c r="E47" s="170">
        <v>784</v>
      </c>
      <c r="F47" s="170">
        <v>854</v>
      </c>
      <c r="G47" s="170">
        <v>878</v>
      </c>
      <c r="H47" s="170">
        <v>880</v>
      </c>
      <c r="I47" s="170">
        <v>917</v>
      </c>
      <c r="J47" s="170">
        <v>862</v>
      </c>
      <c r="K47" s="170">
        <v>891</v>
      </c>
      <c r="L47" s="170">
        <v>1018</v>
      </c>
      <c r="M47" s="170">
        <v>1013</v>
      </c>
      <c r="N47" s="170">
        <v>1006</v>
      </c>
      <c r="O47" s="170">
        <v>1034.9549999999999</v>
      </c>
      <c r="P47" s="170">
        <v>1050</v>
      </c>
      <c r="Q47" s="170">
        <v>1044</v>
      </c>
      <c r="R47" s="170">
        <v>1040</v>
      </c>
      <c r="S47" s="170">
        <v>1045</v>
      </c>
      <c r="T47" s="170">
        <v>1030</v>
      </c>
      <c r="V47" s="169" t="s">
        <v>103</v>
      </c>
      <c r="W47" s="170">
        <v>1024</v>
      </c>
      <c r="X47" s="170">
        <v>1018</v>
      </c>
      <c r="Y47" s="170">
        <v>1010</v>
      </c>
      <c r="Z47" s="36">
        <v>1004</v>
      </c>
      <c r="AA47" s="36">
        <f>1112-114</f>
        <v>998</v>
      </c>
      <c r="AB47" s="36">
        <v>991</v>
      </c>
    </row>
    <row r="48" spans="1:28" s="36" customFormat="1" ht="15.6">
      <c r="A48" s="179"/>
      <c r="B48" s="169" t="s">
        <v>104</v>
      </c>
      <c r="C48" s="170">
        <v>0</v>
      </c>
      <c r="D48" s="170">
        <v>0</v>
      </c>
      <c r="E48" s="170">
        <v>0</v>
      </c>
      <c r="F48" s="170">
        <v>0</v>
      </c>
      <c r="G48" s="170">
        <v>0</v>
      </c>
      <c r="H48" s="170">
        <v>0</v>
      </c>
      <c r="I48" s="170">
        <v>0</v>
      </c>
      <c r="J48" s="170">
        <v>0</v>
      </c>
      <c r="K48" s="170">
        <v>0</v>
      </c>
      <c r="L48" s="170">
        <v>0</v>
      </c>
      <c r="M48" s="170">
        <v>0</v>
      </c>
      <c r="N48" s="170">
        <v>0</v>
      </c>
      <c r="O48" s="170">
        <v>0</v>
      </c>
      <c r="P48" s="170"/>
      <c r="Q48" s="170"/>
      <c r="R48" s="170">
        <v>0</v>
      </c>
      <c r="S48" s="170">
        <v>0</v>
      </c>
      <c r="T48" s="170">
        <v>0</v>
      </c>
      <c r="V48" s="169" t="s">
        <v>104</v>
      </c>
      <c r="W48" s="170">
        <v>0</v>
      </c>
      <c r="X48" s="170">
        <v>0</v>
      </c>
      <c r="Y48" s="170">
        <v>0</v>
      </c>
    </row>
    <row r="49" spans="1:28" s="36" customFormat="1" ht="15.6">
      <c r="A49" s="179"/>
      <c r="B49" s="169" t="s">
        <v>106</v>
      </c>
      <c r="C49" s="170">
        <v>0</v>
      </c>
      <c r="D49" s="170">
        <v>2</v>
      </c>
      <c r="E49" s="170">
        <v>2</v>
      </c>
      <c r="F49" s="170">
        <v>2</v>
      </c>
      <c r="G49" s="170">
        <v>2</v>
      </c>
      <c r="H49" s="170">
        <v>25</v>
      </c>
      <c r="I49" s="170">
        <v>25</v>
      </c>
      <c r="J49" s="170">
        <v>101</v>
      </c>
      <c r="K49" s="170">
        <v>101</v>
      </c>
      <c r="L49" s="170">
        <v>109</v>
      </c>
      <c r="M49" s="170">
        <v>109</v>
      </c>
      <c r="N49" s="170">
        <v>109</v>
      </c>
      <c r="O49" s="170">
        <v>109.471</v>
      </c>
      <c r="P49" s="170">
        <v>109</v>
      </c>
      <c r="Q49" s="170">
        <v>109</v>
      </c>
      <c r="R49" s="170">
        <v>109</v>
      </c>
      <c r="S49" s="170">
        <v>110</v>
      </c>
      <c r="T49" s="170">
        <v>110</v>
      </c>
      <c r="V49" s="169" t="s">
        <v>106</v>
      </c>
      <c r="W49" s="170">
        <v>110</v>
      </c>
      <c r="X49" s="170">
        <v>110</v>
      </c>
      <c r="Y49" s="170">
        <v>110</v>
      </c>
      <c r="Z49" s="36">
        <v>111</v>
      </c>
      <c r="AA49" s="36">
        <v>114</v>
      </c>
      <c r="AB49" s="36">
        <v>112</v>
      </c>
    </row>
    <row r="50" spans="1:28" s="36" customFormat="1" ht="15.6">
      <c r="A50" s="179"/>
      <c r="B50" s="169" t="s">
        <v>94</v>
      </c>
      <c r="C50" s="170">
        <v>0</v>
      </c>
      <c r="D50" s="170">
        <v>0</v>
      </c>
      <c r="E50" s="170">
        <v>0</v>
      </c>
      <c r="F50" s="170">
        <v>0</v>
      </c>
      <c r="G50" s="170">
        <v>0</v>
      </c>
      <c r="H50" s="170">
        <v>0</v>
      </c>
      <c r="I50" s="170">
        <v>0</v>
      </c>
      <c r="J50" s="170">
        <v>0</v>
      </c>
      <c r="K50" s="170">
        <v>0</v>
      </c>
      <c r="L50" s="170">
        <v>0</v>
      </c>
      <c r="M50" s="170">
        <v>0</v>
      </c>
      <c r="N50" s="170">
        <v>0</v>
      </c>
      <c r="O50" s="170">
        <v>0.41699999999999998</v>
      </c>
      <c r="P50" s="170"/>
      <c r="Q50" s="170"/>
      <c r="R50" s="170">
        <v>0</v>
      </c>
      <c r="S50" s="170">
        <v>0</v>
      </c>
      <c r="T50" s="170">
        <v>0</v>
      </c>
      <c r="V50" s="169" t="s">
        <v>94</v>
      </c>
      <c r="W50" s="170">
        <v>0</v>
      </c>
      <c r="X50" s="170">
        <v>1</v>
      </c>
      <c r="Y50" s="170">
        <v>0</v>
      </c>
      <c r="AB50" s="36">
        <v>3</v>
      </c>
    </row>
    <row r="51" spans="1:28" s="36" customFormat="1" ht="15.6">
      <c r="A51" s="179"/>
      <c r="B51" s="169" t="s">
        <v>107</v>
      </c>
      <c r="C51" s="170">
        <v>10</v>
      </c>
      <c r="D51" s="170">
        <v>21</v>
      </c>
      <c r="E51" s="170">
        <v>18</v>
      </c>
      <c r="F51" s="170">
        <v>19</v>
      </c>
      <c r="G51" s="170">
        <v>14</v>
      </c>
      <c r="H51" s="170">
        <v>43</v>
      </c>
      <c r="I51" s="170">
        <v>60</v>
      </c>
      <c r="J51" s="170">
        <v>75</v>
      </c>
      <c r="K51" s="170">
        <v>98</v>
      </c>
      <c r="L51" s="170">
        <v>92</v>
      </c>
      <c r="M51" s="170">
        <v>122</v>
      </c>
      <c r="N51" s="170">
        <v>132</v>
      </c>
      <c r="O51" s="170">
        <v>141.44399999999999</v>
      </c>
      <c r="P51" s="170">
        <v>150</v>
      </c>
      <c r="Q51" s="170">
        <v>148</v>
      </c>
      <c r="R51" s="170">
        <v>161</v>
      </c>
      <c r="S51" s="170">
        <v>187</v>
      </c>
      <c r="T51" s="170">
        <v>198</v>
      </c>
      <c r="V51" s="169" t="s">
        <v>107</v>
      </c>
      <c r="W51" s="170">
        <v>34</v>
      </c>
      <c r="X51" s="170">
        <v>36</v>
      </c>
      <c r="Y51" s="170">
        <v>36</v>
      </c>
      <c r="Z51" s="36">
        <v>37</v>
      </c>
      <c r="AA51" s="36">
        <v>239</v>
      </c>
      <c r="AB51" s="36">
        <v>246</v>
      </c>
    </row>
    <row r="52" spans="1:28" s="36" customFormat="1" ht="15.6">
      <c r="A52" s="179"/>
      <c r="B52" s="169" t="s">
        <v>108</v>
      </c>
      <c r="C52" s="170">
        <v>0</v>
      </c>
      <c r="D52" s="170">
        <v>0</v>
      </c>
      <c r="E52" s="170">
        <v>0</v>
      </c>
      <c r="F52" s="170">
        <v>0</v>
      </c>
      <c r="G52" s="170">
        <v>0</v>
      </c>
      <c r="H52" s="170">
        <v>0</v>
      </c>
      <c r="I52" s="170">
        <v>0</v>
      </c>
      <c r="J52" s="170">
        <v>0</v>
      </c>
      <c r="K52" s="170">
        <v>1</v>
      </c>
      <c r="L52" s="170">
        <v>1</v>
      </c>
      <c r="M52" s="170">
        <v>1</v>
      </c>
      <c r="N52" s="170">
        <v>1</v>
      </c>
      <c r="O52" s="170">
        <v>0.96299999999999997</v>
      </c>
      <c r="P52" s="170">
        <v>1</v>
      </c>
      <c r="Q52" s="170">
        <v>1</v>
      </c>
      <c r="R52" s="170">
        <v>1</v>
      </c>
      <c r="S52" s="170">
        <v>1</v>
      </c>
      <c r="T52" s="170">
        <v>1</v>
      </c>
      <c r="V52" s="169" t="s">
        <v>108</v>
      </c>
      <c r="W52" s="170">
        <v>1</v>
      </c>
      <c r="X52" s="170">
        <v>0</v>
      </c>
      <c r="Y52" s="170">
        <v>0</v>
      </c>
    </row>
    <row r="53" spans="1:28" s="36" customFormat="1" ht="15.6">
      <c r="A53" s="179"/>
      <c r="B53" s="169" t="s">
        <v>95</v>
      </c>
      <c r="C53" s="170">
        <v>0</v>
      </c>
      <c r="D53" s="170">
        <v>0</v>
      </c>
      <c r="E53" s="170">
        <v>0</v>
      </c>
      <c r="F53" s="170">
        <v>0</v>
      </c>
      <c r="G53" s="170">
        <v>0</v>
      </c>
      <c r="H53" s="170">
        <v>0</v>
      </c>
      <c r="I53" s="170">
        <v>0</v>
      </c>
      <c r="J53" s="170">
        <v>0</v>
      </c>
      <c r="K53" s="170">
        <v>0</v>
      </c>
      <c r="L53" s="170">
        <v>0</v>
      </c>
      <c r="M53" s="170">
        <v>0</v>
      </c>
      <c r="N53" s="170">
        <v>0</v>
      </c>
      <c r="O53" s="170">
        <v>0</v>
      </c>
      <c r="P53" s="170"/>
      <c r="Q53" s="170"/>
      <c r="R53" s="170">
        <v>0</v>
      </c>
      <c r="S53" s="170">
        <v>0</v>
      </c>
      <c r="T53" s="170">
        <v>0</v>
      </c>
      <c r="V53" s="169" t="s">
        <v>95</v>
      </c>
      <c r="W53" s="170">
        <v>0</v>
      </c>
      <c r="X53" s="170">
        <v>0</v>
      </c>
      <c r="Y53" s="170">
        <v>0</v>
      </c>
    </row>
    <row r="54" spans="1:28" ht="15.6">
      <c r="A54" s="132"/>
      <c r="B54" s="167" t="s">
        <v>110</v>
      </c>
      <c r="C54" s="172">
        <f t="shared" ref="C54:N54" si="2">SUM(C41:C53)</f>
        <v>498</v>
      </c>
      <c r="D54" s="172">
        <f t="shared" si="2"/>
        <v>767</v>
      </c>
      <c r="E54" s="172">
        <f t="shared" si="2"/>
        <v>815</v>
      </c>
      <c r="F54" s="172">
        <f t="shared" si="2"/>
        <v>898</v>
      </c>
      <c r="G54" s="172">
        <f t="shared" si="2"/>
        <v>919</v>
      </c>
      <c r="H54" s="172">
        <f t="shared" si="2"/>
        <v>1042</v>
      </c>
      <c r="I54" s="172">
        <f t="shared" si="2"/>
        <v>1070</v>
      </c>
      <c r="J54" s="172">
        <f t="shared" si="2"/>
        <v>1092</v>
      </c>
      <c r="K54" s="172">
        <f t="shared" si="2"/>
        <v>1121</v>
      </c>
      <c r="L54" s="172">
        <f t="shared" si="2"/>
        <v>1249</v>
      </c>
      <c r="M54" s="172">
        <f t="shared" si="2"/>
        <v>1274</v>
      </c>
      <c r="N54" s="172">
        <f t="shared" si="2"/>
        <v>1361</v>
      </c>
      <c r="O54" s="172">
        <v>1367.085</v>
      </c>
      <c r="P54" s="172">
        <f>SUM(P41:P53)</f>
        <v>1396</v>
      </c>
      <c r="Q54" s="172">
        <v>1388</v>
      </c>
      <c r="R54" s="172">
        <v>1397</v>
      </c>
      <c r="S54" s="172">
        <v>1355</v>
      </c>
      <c r="T54" s="172">
        <v>1363</v>
      </c>
      <c r="V54" s="167" t="s">
        <v>110</v>
      </c>
      <c r="W54" s="172">
        <v>1193</v>
      </c>
      <c r="X54" s="172">
        <v>1218</v>
      </c>
      <c r="Y54" s="172">
        <v>1156</v>
      </c>
      <c r="Z54" s="172">
        <f>SUM(Z41:Z53)</f>
        <v>1152</v>
      </c>
      <c r="AA54" s="172">
        <f>SUM(AA41:AA53)</f>
        <v>1352</v>
      </c>
      <c r="AB54" s="172">
        <v>1432</v>
      </c>
    </row>
    <row r="55" spans="1:28" ht="15.6">
      <c r="A55" s="132"/>
      <c r="B55" s="121" t="s">
        <v>111</v>
      </c>
      <c r="C55" s="171">
        <f t="shared" ref="C55:N55" si="3">+C39+C54</f>
        <v>595</v>
      </c>
      <c r="D55" s="171">
        <f t="shared" si="3"/>
        <v>786</v>
      </c>
      <c r="E55" s="171">
        <f t="shared" si="3"/>
        <v>857</v>
      </c>
      <c r="F55" s="171">
        <f t="shared" si="3"/>
        <v>936</v>
      </c>
      <c r="G55" s="171">
        <f t="shared" si="3"/>
        <v>950</v>
      </c>
      <c r="H55" s="171">
        <f t="shared" si="3"/>
        <v>1075</v>
      </c>
      <c r="I55" s="171">
        <f t="shared" si="3"/>
        <v>1084</v>
      </c>
      <c r="J55" s="171">
        <f t="shared" si="3"/>
        <v>1104</v>
      </c>
      <c r="K55" s="171">
        <f t="shared" si="3"/>
        <v>1133</v>
      </c>
      <c r="L55" s="171">
        <f t="shared" si="3"/>
        <v>1257</v>
      </c>
      <c r="M55" s="171">
        <f t="shared" si="3"/>
        <v>1279</v>
      </c>
      <c r="N55" s="171">
        <f t="shared" si="3"/>
        <v>1367</v>
      </c>
      <c r="O55" s="171">
        <v>1371.2149999999999</v>
      </c>
      <c r="P55" s="171">
        <f>+P54+P39</f>
        <v>1410</v>
      </c>
      <c r="Q55" s="171">
        <v>1397</v>
      </c>
      <c r="R55" s="171">
        <v>1404</v>
      </c>
      <c r="S55" s="171">
        <v>1714</v>
      </c>
      <c r="T55" s="171">
        <v>1701</v>
      </c>
      <c r="V55" s="121" t="s">
        <v>111</v>
      </c>
      <c r="W55" s="171">
        <v>1547</v>
      </c>
      <c r="X55" s="171">
        <v>1526</v>
      </c>
      <c r="Y55" s="171">
        <v>1533</v>
      </c>
      <c r="Z55" s="171">
        <f>+Z54+Z39</f>
        <v>1532</v>
      </c>
      <c r="AA55" s="171">
        <f>+AA54+AA39</f>
        <v>1754</v>
      </c>
      <c r="AB55" s="171">
        <v>1766</v>
      </c>
    </row>
    <row r="56" spans="1:28" ht="15.6">
      <c r="A56" s="132"/>
      <c r="B56" s="123"/>
      <c r="C56" s="173"/>
      <c r="D56" s="173"/>
      <c r="E56" s="173"/>
      <c r="F56" s="173"/>
      <c r="G56" s="173"/>
      <c r="H56" s="173"/>
      <c r="I56" s="173"/>
      <c r="J56" s="173"/>
      <c r="K56" s="173"/>
      <c r="L56" s="173"/>
      <c r="M56" s="173"/>
      <c r="N56" s="173"/>
      <c r="O56" s="173">
        <v>0</v>
      </c>
      <c r="S56">
        <v>0</v>
      </c>
      <c r="T56">
        <v>0</v>
      </c>
      <c r="V56" s="123"/>
    </row>
    <row r="57" spans="1:28" ht="15.6">
      <c r="A57" s="132"/>
      <c r="B57" s="174" t="s">
        <v>112</v>
      </c>
      <c r="C57" s="175"/>
      <c r="D57" s="175"/>
      <c r="E57" s="175"/>
      <c r="F57" s="175"/>
      <c r="G57" s="175"/>
      <c r="H57" s="175"/>
      <c r="I57" s="175"/>
      <c r="J57" s="175"/>
      <c r="K57" s="175"/>
      <c r="L57" s="175"/>
      <c r="M57" s="175"/>
      <c r="N57" s="175"/>
      <c r="O57" s="175">
        <v>0</v>
      </c>
      <c r="P57" s="175"/>
      <c r="Q57" s="175"/>
      <c r="R57" s="175"/>
      <c r="S57" s="175">
        <v>0</v>
      </c>
      <c r="T57" s="175">
        <v>0</v>
      </c>
      <c r="V57" s="174" t="s">
        <v>112</v>
      </c>
      <c r="W57" s="175"/>
      <c r="X57" s="175"/>
      <c r="Y57" s="175"/>
      <c r="Z57" s="175"/>
      <c r="AA57" s="175"/>
      <c r="AB57" s="175"/>
    </row>
    <row r="58" spans="1:28" ht="15.6">
      <c r="A58" s="132"/>
      <c r="B58" s="167" t="s">
        <v>113</v>
      </c>
      <c r="C58" s="176"/>
      <c r="D58" s="176"/>
      <c r="E58" s="176"/>
      <c r="F58" s="176"/>
      <c r="G58" s="176"/>
      <c r="H58" s="176"/>
      <c r="I58" s="176"/>
      <c r="J58" s="176"/>
      <c r="K58" s="176"/>
      <c r="L58" s="176"/>
      <c r="M58" s="176"/>
      <c r="N58" s="176"/>
      <c r="O58" s="176">
        <v>0</v>
      </c>
      <c r="P58" s="176"/>
      <c r="Q58" s="176"/>
      <c r="R58" s="176"/>
      <c r="S58" s="176">
        <v>0</v>
      </c>
      <c r="T58" s="176">
        <v>0</v>
      </c>
      <c r="V58" s="167" t="s">
        <v>113</v>
      </c>
      <c r="W58" s="176"/>
      <c r="X58" s="176"/>
      <c r="Y58" s="176"/>
      <c r="Z58" s="176"/>
      <c r="AA58" s="176"/>
      <c r="AB58" s="176"/>
    </row>
    <row r="59" spans="1:28" s="36" customFormat="1" ht="15.6">
      <c r="A59" s="179"/>
      <c r="B59" s="169" t="s">
        <v>114</v>
      </c>
      <c r="C59" s="170">
        <v>0</v>
      </c>
      <c r="D59" s="170">
        <v>0</v>
      </c>
      <c r="E59" s="170">
        <v>-18</v>
      </c>
      <c r="F59" s="170">
        <v>0</v>
      </c>
      <c r="G59" s="170">
        <v>0</v>
      </c>
      <c r="H59" s="170">
        <v>0</v>
      </c>
      <c r="I59" s="170">
        <v>0</v>
      </c>
      <c r="J59" s="170">
        <v>0</v>
      </c>
      <c r="K59" s="170">
        <v>0</v>
      </c>
      <c r="L59" s="170">
        <v>0</v>
      </c>
      <c r="M59" s="170">
        <v>0</v>
      </c>
      <c r="N59" s="170">
        <v>0</v>
      </c>
      <c r="O59" s="170">
        <v>0</v>
      </c>
      <c r="P59" s="170">
        <v>-8</v>
      </c>
      <c r="Q59" s="170">
        <v>-7</v>
      </c>
      <c r="R59" s="170">
        <v>-6</v>
      </c>
      <c r="S59" s="170">
        <v>0</v>
      </c>
      <c r="T59" s="170">
        <v>0</v>
      </c>
      <c r="V59" s="169" t="s">
        <v>114</v>
      </c>
      <c r="W59" s="170">
        <v>0</v>
      </c>
      <c r="X59" s="170">
        <v>0</v>
      </c>
      <c r="Y59" s="170">
        <v>0</v>
      </c>
      <c r="Z59" s="170">
        <v>0</v>
      </c>
      <c r="AA59" s="170">
        <v>0</v>
      </c>
      <c r="AB59" s="170">
        <v>0</v>
      </c>
    </row>
    <row r="60" spans="1:28" s="36" customFormat="1" ht="15.6">
      <c r="A60" s="179"/>
      <c r="B60" s="169" t="s">
        <v>115</v>
      </c>
      <c r="C60" s="170">
        <v>5</v>
      </c>
      <c r="D60" s="170">
        <v>17</v>
      </c>
      <c r="E60" s="170">
        <v>14</v>
      </c>
      <c r="F60" s="170">
        <v>12</v>
      </c>
      <c r="G60" s="170">
        <v>9</v>
      </c>
      <c r="H60" s="170">
        <v>7</v>
      </c>
      <c r="I60" s="170">
        <v>3</v>
      </c>
      <c r="J60" s="170">
        <v>3</v>
      </c>
      <c r="K60" s="170">
        <v>10</v>
      </c>
      <c r="L60" s="170">
        <v>1</v>
      </c>
      <c r="M60" s="170">
        <v>2</v>
      </c>
      <c r="N60" s="170">
        <v>3</v>
      </c>
      <c r="O60" s="170">
        <v>8.4450000000000003</v>
      </c>
      <c r="P60" s="170">
        <v>4</v>
      </c>
      <c r="Q60" s="170">
        <v>4</v>
      </c>
      <c r="R60" s="170">
        <v>6</v>
      </c>
      <c r="S60" s="170">
        <v>10</v>
      </c>
      <c r="T60" s="170">
        <v>6</v>
      </c>
      <c r="V60" s="169" t="s">
        <v>115</v>
      </c>
      <c r="W60" s="170">
        <v>6</v>
      </c>
      <c r="X60" s="170">
        <v>10</v>
      </c>
      <c r="Y60" s="170">
        <v>5</v>
      </c>
      <c r="Z60" s="36">
        <f>37-17</f>
        <v>20</v>
      </c>
      <c r="AA60" s="36">
        <v>39</v>
      </c>
      <c r="AB60" s="36">
        <v>5</v>
      </c>
    </row>
    <row r="61" spans="1:28" s="36" customFormat="1" ht="15.6">
      <c r="A61" s="179"/>
      <c r="B61" s="169" t="s">
        <v>117</v>
      </c>
      <c r="C61" s="170">
        <v>0</v>
      </c>
      <c r="D61" s="170">
        <v>1</v>
      </c>
      <c r="E61" s="170">
        <v>0</v>
      </c>
      <c r="F61" s="170">
        <v>0</v>
      </c>
      <c r="G61" s="170">
        <v>0</v>
      </c>
      <c r="H61" s="170">
        <v>0</v>
      </c>
      <c r="I61" s="170">
        <v>1</v>
      </c>
      <c r="J61" s="170">
        <v>1</v>
      </c>
      <c r="K61" s="170">
        <v>2</v>
      </c>
      <c r="L61" s="170">
        <v>0</v>
      </c>
      <c r="M61" s="170">
        <v>1</v>
      </c>
      <c r="N61" s="170">
        <v>1</v>
      </c>
      <c r="O61" s="170">
        <v>0.216</v>
      </c>
      <c r="P61" s="170">
        <v>0</v>
      </c>
      <c r="Q61" s="170"/>
      <c r="R61" s="170">
        <v>0</v>
      </c>
      <c r="S61" s="170">
        <v>0</v>
      </c>
      <c r="T61" s="170">
        <v>0</v>
      </c>
      <c r="V61" s="169" t="s">
        <v>117</v>
      </c>
      <c r="W61" s="170">
        <v>0</v>
      </c>
      <c r="X61" s="170">
        <v>0</v>
      </c>
      <c r="Y61" s="170">
        <v>0</v>
      </c>
    </row>
    <row r="62" spans="1:28" s="36" customFormat="1" ht="15.6">
      <c r="A62" s="179"/>
      <c r="B62" s="169" t="s">
        <v>92</v>
      </c>
      <c r="C62" s="170">
        <v>23</v>
      </c>
      <c r="D62" s="170">
        <v>3</v>
      </c>
      <c r="E62" s="170">
        <v>0</v>
      </c>
      <c r="F62" s="170">
        <v>1</v>
      </c>
      <c r="G62" s="170">
        <v>1</v>
      </c>
      <c r="H62" s="170">
        <v>1</v>
      </c>
      <c r="I62" s="170">
        <v>2</v>
      </c>
      <c r="J62" s="170">
        <v>1</v>
      </c>
      <c r="K62" s="170">
        <v>1</v>
      </c>
      <c r="L62" s="170">
        <v>1</v>
      </c>
      <c r="M62" s="170">
        <v>1</v>
      </c>
      <c r="N62" s="170">
        <v>1</v>
      </c>
      <c r="O62" s="170">
        <v>1.099</v>
      </c>
      <c r="P62" s="170">
        <v>3</v>
      </c>
      <c r="Q62" s="170">
        <v>2</v>
      </c>
      <c r="R62" s="170">
        <v>2</v>
      </c>
      <c r="S62" s="170">
        <v>0</v>
      </c>
      <c r="T62" s="170">
        <v>1</v>
      </c>
      <c r="V62" s="169" t="s">
        <v>92</v>
      </c>
      <c r="W62" s="170">
        <v>1</v>
      </c>
      <c r="X62" s="170">
        <v>3</v>
      </c>
      <c r="Y62" s="170">
        <v>0</v>
      </c>
      <c r="AA62" s="36">
        <v>1</v>
      </c>
      <c r="AB62" s="36">
        <v>3</v>
      </c>
    </row>
    <row r="63" spans="1:28" s="36" customFormat="1" ht="15.6">
      <c r="A63" s="179"/>
      <c r="B63" s="169" t="s">
        <v>118</v>
      </c>
      <c r="C63" s="170">
        <v>0</v>
      </c>
      <c r="D63" s="170">
        <v>0</v>
      </c>
      <c r="E63" s="170">
        <v>0</v>
      </c>
      <c r="F63" s="170">
        <v>0</v>
      </c>
      <c r="G63" s="170">
        <v>0</v>
      </c>
      <c r="H63" s="170">
        <v>6</v>
      </c>
      <c r="I63" s="170">
        <v>9</v>
      </c>
      <c r="J63" s="170">
        <v>3</v>
      </c>
      <c r="K63" s="170">
        <v>2</v>
      </c>
      <c r="L63" s="170">
        <v>125</v>
      </c>
      <c r="M63" s="170">
        <v>44</v>
      </c>
      <c r="N63" s="170">
        <v>31</v>
      </c>
      <c r="O63" s="170">
        <v>24.690999999999999</v>
      </c>
      <c r="P63" s="170">
        <v>59</v>
      </c>
      <c r="Q63" s="170">
        <v>55</v>
      </c>
      <c r="R63" s="170">
        <v>52</v>
      </c>
      <c r="S63" s="170">
        <v>37</v>
      </c>
      <c r="T63" s="170">
        <v>29</v>
      </c>
      <c r="V63" s="169" t="s">
        <v>118</v>
      </c>
      <c r="W63" s="170">
        <v>27</v>
      </c>
      <c r="X63" s="170">
        <v>12</v>
      </c>
      <c r="Y63" s="170">
        <v>21</v>
      </c>
      <c r="Z63" s="36">
        <v>17</v>
      </c>
      <c r="AB63" s="36">
        <v>15</v>
      </c>
    </row>
    <row r="64" spans="1:28" s="36" customFormat="1" ht="15.6">
      <c r="A64" s="179"/>
      <c r="B64" s="169" t="s">
        <v>116</v>
      </c>
      <c r="C64" s="170">
        <v>0</v>
      </c>
      <c r="D64" s="170">
        <v>0</v>
      </c>
      <c r="E64" s="170">
        <v>0</v>
      </c>
      <c r="F64" s="170">
        <v>0</v>
      </c>
      <c r="G64" s="170">
        <v>0</v>
      </c>
      <c r="H64" s="170">
        <v>1</v>
      </c>
      <c r="I64" s="170">
        <v>1</v>
      </c>
      <c r="J64" s="170">
        <v>1</v>
      </c>
      <c r="K64" s="170">
        <v>1</v>
      </c>
      <c r="L64" s="170">
        <v>0</v>
      </c>
      <c r="M64" s="170">
        <v>79</v>
      </c>
      <c r="N64" s="170">
        <v>78</v>
      </c>
      <c r="O64" s="170">
        <v>78.554000000000002</v>
      </c>
      <c r="P64" s="170">
        <v>79</v>
      </c>
      <c r="Q64" s="170">
        <v>79</v>
      </c>
      <c r="R64" s="170">
        <v>78</v>
      </c>
      <c r="S64" s="170">
        <v>0</v>
      </c>
      <c r="T64" s="170">
        <v>0</v>
      </c>
      <c r="V64" s="169" t="s">
        <v>116</v>
      </c>
      <c r="W64" s="170">
        <v>0</v>
      </c>
      <c r="X64" s="170">
        <v>0</v>
      </c>
      <c r="Y64" s="170">
        <v>0</v>
      </c>
    </row>
    <row r="65" spans="1:28" s="36" customFormat="1" ht="15.6">
      <c r="A65" s="179"/>
      <c r="B65" s="169" t="s">
        <v>119</v>
      </c>
      <c r="C65" s="170">
        <v>0</v>
      </c>
      <c r="D65" s="170">
        <v>0</v>
      </c>
      <c r="E65" s="170">
        <v>0</v>
      </c>
      <c r="F65" s="170">
        <v>0</v>
      </c>
      <c r="G65" s="170">
        <v>0</v>
      </c>
      <c r="H65" s="170">
        <v>0</v>
      </c>
      <c r="I65" s="170">
        <v>0</v>
      </c>
      <c r="J65" s="170">
        <v>0</v>
      </c>
      <c r="K65" s="170">
        <v>0</v>
      </c>
      <c r="L65" s="170">
        <v>0</v>
      </c>
      <c r="M65" s="170">
        <v>0</v>
      </c>
      <c r="N65" s="170">
        <v>0</v>
      </c>
      <c r="O65" s="170">
        <v>0</v>
      </c>
      <c r="P65" s="170"/>
      <c r="Q65" s="170"/>
      <c r="R65" s="170">
        <v>0</v>
      </c>
      <c r="S65" s="170">
        <v>0</v>
      </c>
      <c r="T65" s="170">
        <v>0</v>
      </c>
      <c r="V65" s="169" t="s">
        <v>119</v>
      </c>
      <c r="W65" s="170">
        <v>0</v>
      </c>
      <c r="X65" s="170">
        <v>0</v>
      </c>
      <c r="Y65" s="170">
        <v>0</v>
      </c>
    </row>
    <row r="66" spans="1:28" s="36" customFormat="1" ht="15.6">
      <c r="A66" s="179"/>
      <c r="B66" s="169" t="s">
        <v>152</v>
      </c>
      <c r="C66" s="170">
        <v>0</v>
      </c>
      <c r="D66" s="170">
        <v>0</v>
      </c>
      <c r="E66" s="170">
        <v>0</v>
      </c>
      <c r="F66" s="170">
        <v>0</v>
      </c>
      <c r="G66" s="170">
        <v>0</v>
      </c>
      <c r="H66" s="170">
        <v>0</v>
      </c>
      <c r="I66" s="170">
        <v>0</v>
      </c>
      <c r="J66" s="170">
        <v>0</v>
      </c>
      <c r="K66" s="170">
        <v>0</v>
      </c>
      <c r="L66" s="170">
        <v>0</v>
      </c>
      <c r="M66" s="170">
        <v>0</v>
      </c>
      <c r="N66" s="170">
        <v>0</v>
      </c>
      <c r="O66" s="170">
        <v>0</v>
      </c>
      <c r="P66" s="170"/>
      <c r="Q66" s="170"/>
      <c r="R66" s="170">
        <v>0</v>
      </c>
      <c r="S66" s="170">
        <v>0</v>
      </c>
      <c r="T66" s="170">
        <v>0</v>
      </c>
      <c r="V66" s="169" t="s">
        <v>152</v>
      </c>
      <c r="W66" s="170">
        <v>0</v>
      </c>
      <c r="X66" s="170">
        <v>0</v>
      </c>
      <c r="Y66" s="170">
        <v>0</v>
      </c>
    </row>
    <row r="67" spans="1:28" ht="15.6">
      <c r="A67" s="132"/>
      <c r="B67" s="167" t="s">
        <v>121</v>
      </c>
      <c r="C67" s="172">
        <f t="shared" ref="C67:N67" si="4">SUM(C59:C66)</f>
        <v>28</v>
      </c>
      <c r="D67" s="172">
        <f t="shared" si="4"/>
        <v>21</v>
      </c>
      <c r="E67" s="172">
        <f t="shared" si="4"/>
        <v>-4</v>
      </c>
      <c r="F67" s="172">
        <f t="shared" si="4"/>
        <v>13</v>
      </c>
      <c r="G67" s="172">
        <f t="shared" si="4"/>
        <v>10</v>
      </c>
      <c r="H67" s="172">
        <f t="shared" si="4"/>
        <v>15</v>
      </c>
      <c r="I67" s="172">
        <f t="shared" si="4"/>
        <v>16</v>
      </c>
      <c r="J67" s="172">
        <f t="shared" si="4"/>
        <v>9</v>
      </c>
      <c r="K67" s="172">
        <f t="shared" si="4"/>
        <v>16</v>
      </c>
      <c r="L67" s="172">
        <f t="shared" si="4"/>
        <v>127</v>
      </c>
      <c r="M67" s="172">
        <f t="shared" si="4"/>
        <v>127</v>
      </c>
      <c r="N67" s="172">
        <f t="shared" si="4"/>
        <v>114</v>
      </c>
      <c r="O67" s="172">
        <v>113.005</v>
      </c>
      <c r="P67" s="172">
        <f>SUM(P59:P66)</f>
        <v>137</v>
      </c>
      <c r="Q67" s="172">
        <v>133</v>
      </c>
      <c r="R67" s="172">
        <v>132</v>
      </c>
      <c r="S67" s="172">
        <v>47</v>
      </c>
      <c r="T67" s="172">
        <v>36</v>
      </c>
      <c r="V67" s="167" t="s">
        <v>121</v>
      </c>
      <c r="W67" s="172">
        <v>34</v>
      </c>
      <c r="X67" s="172">
        <v>25</v>
      </c>
      <c r="Y67" s="172">
        <v>26</v>
      </c>
      <c r="Z67" s="172">
        <f>SUM(Z60:Z66)</f>
        <v>37</v>
      </c>
      <c r="AA67" s="172">
        <f>SUM(AA60:AA66)</f>
        <v>40</v>
      </c>
      <c r="AB67" s="172">
        <v>23</v>
      </c>
    </row>
    <row r="68" spans="1:28" ht="15.6">
      <c r="A68" s="132"/>
      <c r="B68" s="177" t="s">
        <v>122</v>
      </c>
      <c r="C68" s="178"/>
      <c r="D68" s="178"/>
      <c r="E68" s="178"/>
      <c r="F68" s="178"/>
      <c r="G68" s="178"/>
      <c r="H68" s="178"/>
      <c r="I68" s="178"/>
      <c r="J68" s="178"/>
      <c r="K68" s="178"/>
      <c r="L68" s="178"/>
      <c r="M68" s="178"/>
      <c r="N68" s="178"/>
      <c r="O68" s="178">
        <v>0</v>
      </c>
      <c r="P68" s="178"/>
      <c r="Q68" s="178"/>
      <c r="R68" s="178"/>
      <c r="S68" s="178">
        <v>0</v>
      </c>
      <c r="T68" s="178">
        <v>0</v>
      </c>
      <c r="V68" s="177" t="s">
        <v>122</v>
      </c>
      <c r="W68" s="178"/>
      <c r="X68" s="178"/>
      <c r="Y68" s="178"/>
      <c r="Z68" s="178"/>
      <c r="AA68" s="178"/>
      <c r="AB68" s="178"/>
    </row>
    <row r="69" spans="1:28" s="36" customFormat="1" ht="15.6">
      <c r="A69" s="179"/>
      <c r="B69" s="169" t="s">
        <v>114</v>
      </c>
      <c r="C69" s="170">
        <v>228</v>
      </c>
      <c r="D69" s="170">
        <v>425</v>
      </c>
      <c r="E69" s="170">
        <v>506</v>
      </c>
      <c r="F69" s="170">
        <v>566</v>
      </c>
      <c r="G69" s="170">
        <v>557</v>
      </c>
      <c r="H69" s="170">
        <v>666</v>
      </c>
      <c r="I69" s="170">
        <v>669</v>
      </c>
      <c r="J69" s="170">
        <v>695</v>
      </c>
      <c r="K69" s="170">
        <v>712</v>
      </c>
      <c r="L69" s="170">
        <v>686</v>
      </c>
      <c r="M69" s="170">
        <v>746</v>
      </c>
      <c r="N69" s="170">
        <v>833</v>
      </c>
      <c r="O69" s="170">
        <v>822.98400000000004</v>
      </c>
      <c r="P69" s="170">
        <v>815</v>
      </c>
      <c r="Q69" s="170">
        <v>770</v>
      </c>
      <c r="R69" s="170">
        <v>776</v>
      </c>
      <c r="S69" s="170">
        <v>1196</v>
      </c>
      <c r="T69" s="170">
        <v>1185</v>
      </c>
      <c r="V69" s="169" t="s">
        <v>114</v>
      </c>
      <c r="W69" s="170">
        <v>1198</v>
      </c>
      <c r="X69" s="170">
        <v>1185</v>
      </c>
      <c r="Y69" s="170">
        <v>1198</v>
      </c>
      <c r="Z69" s="36">
        <v>1184</v>
      </c>
      <c r="AA69" s="36">
        <v>1197</v>
      </c>
      <c r="AB69" s="36">
        <v>1184</v>
      </c>
    </row>
    <row r="70" spans="1:28" s="36" customFormat="1" ht="15.6">
      <c r="A70" s="179"/>
      <c r="B70" s="169" t="s">
        <v>115</v>
      </c>
      <c r="C70" s="170">
        <v>0</v>
      </c>
      <c r="D70" s="170">
        <v>0</v>
      </c>
      <c r="E70" s="170">
        <v>0</v>
      </c>
      <c r="F70" s="170">
        <v>0</v>
      </c>
      <c r="G70" s="170">
        <v>0</v>
      </c>
      <c r="H70" s="170">
        <v>0</v>
      </c>
      <c r="I70" s="170">
        <v>0</v>
      </c>
      <c r="J70" s="170">
        <v>0</v>
      </c>
      <c r="K70" s="170">
        <v>1</v>
      </c>
      <c r="L70" s="170">
        <v>1</v>
      </c>
      <c r="M70" s="170">
        <v>1</v>
      </c>
      <c r="N70" s="170">
        <v>1</v>
      </c>
      <c r="O70" s="170">
        <v>1.014</v>
      </c>
      <c r="P70" s="170">
        <v>1</v>
      </c>
      <c r="Q70" s="170">
        <v>1</v>
      </c>
      <c r="R70" s="170">
        <v>1</v>
      </c>
      <c r="S70" s="170">
        <v>0</v>
      </c>
      <c r="T70" s="170">
        <v>0</v>
      </c>
      <c r="V70" s="169" t="s">
        <v>115</v>
      </c>
      <c r="W70" s="170">
        <v>0</v>
      </c>
      <c r="X70" s="170">
        <v>6</v>
      </c>
      <c r="Y70" s="170">
        <v>0</v>
      </c>
    </row>
    <row r="71" spans="1:28" s="36" customFormat="1" ht="15.6">
      <c r="A71" s="179"/>
      <c r="B71" s="169" t="s">
        <v>123</v>
      </c>
      <c r="C71" s="170">
        <v>0</v>
      </c>
      <c r="D71" s="170">
        <v>0</v>
      </c>
      <c r="E71" s="170">
        <v>0</v>
      </c>
      <c r="F71" s="170">
        <v>0</v>
      </c>
      <c r="G71" s="170">
        <v>0</v>
      </c>
      <c r="H71" s="170">
        <v>0</v>
      </c>
      <c r="I71" s="170">
        <v>0</v>
      </c>
      <c r="J71" s="170">
        <v>0</v>
      </c>
      <c r="K71" s="170">
        <v>0</v>
      </c>
      <c r="L71" s="170">
        <v>0</v>
      </c>
      <c r="M71" s="170">
        <v>0</v>
      </c>
      <c r="N71" s="170">
        <v>0</v>
      </c>
      <c r="O71" s="170">
        <v>0</v>
      </c>
      <c r="P71" s="170"/>
      <c r="Q71" s="170"/>
      <c r="R71" s="170">
        <v>0</v>
      </c>
      <c r="S71" s="170">
        <v>0</v>
      </c>
      <c r="T71" s="170">
        <v>0</v>
      </c>
      <c r="V71" s="169" t="s">
        <v>123</v>
      </c>
      <c r="W71" s="170">
        <v>0</v>
      </c>
      <c r="X71" s="170">
        <v>0</v>
      </c>
      <c r="Y71" s="170">
        <v>0</v>
      </c>
    </row>
    <row r="72" spans="1:28" s="36" customFormat="1" ht="15.6">
      <c r="A72" s="179"/>
      <c r="B72" s="169" t="s">
        <v>117</v>
      </c>
      <c r="C72" s="170">
        <v>0</v>
      </c>
      <c r="D72" s="170">
        <v>0</v>
      </c>
      <c r="E72" s="170">
        <v>0</v>
      </c>
      <c r="F72" s="170">
        <v>0</v>
      </c>
      <c r="G72" s="170">
        <v>0</v>
      </c>
      <c r="H72" s="170">
        <v>0</v>
      </c>
      <c r="I72" s="170">
        <v>0</v>
      </c>
      <c r="J72" s="170">
        <v>0</v>
      </c>
      <c r="K72" s="170">
        <v>0</v>
      </c>
      <c r="L72" s="170">
        <v>0</v>
      </c>
      <c r="M72" s="170">
        <v>0</v>
      </c>
      <c r="N72" s="170">
        <v>0</v>
      </c>
      <c r="O72" s="170">
        <v>0</v>
      </c>
      <c r="P72" s="170"/>
      <c r="Q72" s="170"/>
      <c r="R72" s="170">
        <v>0</v>
      </c>
      <c r="S72" s="170">
        <v>0</v>
      </c>
      <c r="T72" s="170">
        <v>0</v>
      </c>
      <c r="V72" s="169" t="s">
        <v>117</v>
      </c>
      <c r="W72" s="170">
        <v>0</v>
      </c>
      <c r="X72" s="170">
        <v>0</v>
      </c>
      <c r="Y72" s="170">
        <v>0</v>
      </c>
    </row>
    <row r="73" spans="1:28" s="36" customFormat="1" ht="15.6">
      <c r="A73" s="179"/>
      <c r="B73" s="169" t="s">
        <v>118</v>
      </c>
      <c r="C73" s="170">
        <v>0</v>
      </c>
      <c r="D73" s="170">
        <v>0</v>
      </c>
      <c r="E73" s="170">
        <v>0</v>
      </c>
      <c r="F73" s="170">
        <v>0</v>
      </c>
      <c r="G73" s="170">
        <v>0</v>
      </c>
      <c r="H73" s="170">
        <v>0</v>
      </c>
      <c r="I73" s="170">
        <v>0</v>
      </c>
      <c r="J73" s="170">
        <v>0</v>
      </c>
      <c r="K73" s="170">
        <v>0</v>
      </c>
      <c r="L73" s="170">
        <v>0</v>
      </c>
      <c r="M73" s="170">
        <v>0</v>
      </c>
      <c r="N73" s="170">
        <v>0</v>
      </c>
      <c r="O73" s="170">
        <v>0</v>
      </c>
      <c r="P73" s="170"/>
      <c r="Q73" s="170"/>
      <c r="R73" s="170">
        <v>0</v>
      </c>
      <c r="S73" s="170">
        <v>0</v>
      </c>
      <c r="T73" s="170">
        <v>0</v>
      </c>
      <c r="V73" s="169" t="s">
        <v>118</v>
      </c>
      <c r="W73" s="170">
        <v>0</v>
      </c>
      <c r="X73" s="170">
        <v>0</v>
      </c>
      <c r="Y73" s="170">
        <v>0</v>
      </c>
    </row>
    <row r="74" spans="1:28" s="36" customFormat="1" ht="15.6">
      <c r="A74" s="179"/>
      <c r="B74" s="169" t="s">
        <v>119</v>
      </c>
      <c r="C74" s="170">
        <v>0</v>
      </c>
      <c r="D74" s="170">
        <v>0</v>
      </c>
      <c r="E74" s="170">
        <v>0</v>
      </c>
      <c r="F74" s="170">
        <v>0</v>
      </c>
      <c r="G74" s="170">
        <v>0</v>
      </c>
      <c r="H74" s="170">
        <v>0</v>
      </c>
      <c r="I74" s="170">
        <v>0</v>
      </c>
      <c r="J74" s="170">
        <v>0</v>
      </c>
      <c r="K74" s="170">
        <v>0</v>
      </c>
      <c r="L74" s="170">
        <v>0</v>
      </c>
      <c r="M74" s="170">
        <v>0</v>
      </c>
      <c r="N74" s="170">
        <v>0</v>
      </c>
      <c r="O74" s="170">
        <v>0</v>
      </c>
      <c r="P74" s="170"/>
      <c r="Q74" s="170"/>
      <c r="R74" s="170">
        <v>0</v>
      </c>
      <c r="S74" s="170">
        <v>0</v>
      </c>
      <c r="T74" s="170">
        <v>0</v>
      </c>
      <c r="V74" s="169" t="s">
        <v>119</v>
      </c>
      <c r="W74" s="170">
        <v>0</v>
      </c>
      <c r="X74" s="170">
        <v>0</v>
      </c>
      <c r="Y74" s="170">
        <v>0</v>
      </c>
      <c r="AB74" s="36">
        <v>33</v>
      </c>
    </row>
    <row r="75" spans="1:28" s="36" customFormat="1" ht="15.6">
      <c r="A75" s="179"/>
      <c r="B75" s="169" t="s">
        <v>153</v>
      </c>
      <c r="C75" s="170">
        <v>11</v>
      </c>
      <c r="D75" s="170">
        <v>19</v>
      </c>
      <c r="E75" s="170">
        <v>25</v>
      </c>
      <c r="F75" s="170">
        <v>27</v>
      </c>
      <c r="G75" s="170">
        <v>29</v>
      </c>
      <c r="H75" s="170">
        <v>42</v>
      </c>
      <c r="I75" s="170">
        <v>49</v>
      </c>
      <c r="J75" s="170">
        <v>49</v>
      </c>
      <c r="K75" s="170">
        <v>62</v>
      </c>
      <c r="L75" s="170">
        <v>79</v>
      </c>
      <c r="M75" s="170">
        <v>91</v>
      </c>
      <c r="N75" s="170">
        <v>103</v>
      </c>
      <c r="O75" s="170">
        <v>113.545</v>
      </c>
      <c r="P75" s="170">
        <v>124</v>
      </c>
      <c r="Q75" s="170">
        <v>132</v>
      </c>
      <c r="R75" s="170">
        <v>142</v>
      </c>
      <c r="S75" s="170">
        <v>155</v>
      </c>
      <c r="T75" s="170">
        <v>164</v>
      </c>
      <c r="V75" s="169" t="s">
        <v>153</v>
      </c>
      <c r="W75" s="170">
        <v>0</v>
      </c>
      <c r="X75" s="170">
        <v>0</v>
      </c>
      <c r="Y75" s="170">
        <v>0</v>
      </c>
      <c r="AA75" s="36">
        <v>204</v>
      </c>
      <c r="AB75" s="36">
        <v>212</v>
      </c>
    </row>
    <row r="76" spans="1:28" ht="15.6">
      <c r="A76" s="132"/>
      <c r="B76" s="167" t="s">
        <v>124</v>
      </c>
      <c r="C76" s="172">
        <f t="shared" ref="C76:N76" si="5">SUM(C69:C75)</f>
        <v>239</v>
      </c>
      <c r="D76" s="172">
        <f t="shared" si="5"/>
        <v>444</v>
      </c>
      <c r="E76" s="172">
        <f t="shared" si="5"/>
        <v>531</v>
      </c>
      <c r="F76" s="172">
        <f t="shared" si="5"/>
        <v>593</v>
      </c>
      <c r="G76" s="172">
        <f t="shared" si="5"/>
        <v>586</v>
      </c>
      <c r="H76" s="172">
        <f t="shared" si="5"/>
        <v>708</v>
      </c>
      <c r="I76" s="172">
        <f t="shared" si="5"/>
        <v>718</v>
      </c>
      <c r="J76" s="172">
        <f t="shared" si="5"/>
        <v>744</v>
      </c>
      <c r="K76" s="172">
        <f t="shared" si="5"/>
        <v>775</v>
      </c>
      <c r="L76" s="172">
        <f t="shared" si="5"/>
        <v>766</v>
      </c>
      <c r="M76" s="172">
        <f t="shared" si="5"/>
        <v>838</v>
      </c>
      <c r="N76" s="172">
        <f t="shared" si="5"/>
        <v>937</v>
      </c>
      <c r="O76" s="172">
        <v>937.54300000000001</v>
      </c>
      <c r="P76" s="172">
        <f>SUM(P69:P75)</f>
        <v>940</v>
      </c>
      <c r="Q76" s="172">
        <v>903</v>
      </c>
      <c r="R76" s="172">
        <v>919</v>
      </c>
      <c r="S76" s="172">
        <v>1351</v>
      </c>
      <c r="T76" s="172">
        <v>1349</v>
      </c>
      <c r="V76" s="167" t="s">
        <v>124</v>
      </c>
      <c r="W76" s="172">
        <v>1198</v>
      </c>
      <c r="X76" s="172">
        <v>1191</v>
      </c>
      <c r="Y76" s="172">
        <v>1198</v>
      </c>
      <c r="Z76" s="172">
        <f>SUM(Z69:Z75)</f>
        <v>1184</v>
      </c>
      <c r="AA76" s="172">
        <f>SUM(AA69:AA75)</f>
        <v>1401</v>
      </c>
      <c r="AB76" s="172">
        <v>1429</v>
      </c>
    </row>
    <row r="77" spans="1:28" ht="15.6">
      <c r="A77" s="132"/>
      <c r="B77" s="121" t="s">
        <v>125</v>
      </c>
      <c r="C77" s="171">
        <f t="shared" ref="C77:N77" si="6">+C67+C76</f>
        <v>267</v>
      </c>
      <c r="D77" s="171">
        <f t="shared" si="6"/>
        <v>465</v>
      </c>
      <c r="E77" s="171">
        <f t="shared" si="6"/>
        <v>527</v>
      </c>
      <c r="F77" s="171">
        <f t="shared" si="6"/>
        <v>606</v>
      </c>
      <c r="G77" s="171">
        <f t="shared" si="6"/>
        <v>596</v>
      </c>
      <c r="H77" s="171">
        <f t="shared" si="6"/>
        <v>723</v>
      </c>
      <c r="I77" s="171">
        <f t="shared" si="6"/>
        <v>734</v>
      </c>
      <c r="J77" s="171">
        <f t="shared" si="6"/>
        <v>753</v>
      </c>
      <c r="K77" s="171">
        <f t="shared" si="6"/>
        <v>791</v>
      </c>
      <c r="L77" s="171">
        <f t="shared" si="6"/>
        <v>893</v>
      </c>
      <c r="M77" s="171">
        <f t="shared" si="6"/>
        <v>965</v>
      </c>
      <c r="N77" s="171">
        <f t="shared" si="6"/>
        <v>1051</v>
      </c>
      <c r="O77" s="171">
        <v>1050.548</v>
      </c>
      <c r="P77" s="171">
        <f>+P76+P67</f>
        <v>1077</v>
      </c>
      <c r="Q77" s="171">
        <v>1036</v>
      </c>
      <c r="R77" s="171">
        <v>1051</v>
      </c>
      <c r="S77" s="171">
        <v>1398</v>
      </c>
      <c r="T77" s="171">
        <v>1385</v>
      </c>
      <c r="V77" s="121" t="s">
        <v>125</v>
      </c>
      <c r="W77" s="171">
        <v>1232</v>
      </c>
      <c r="X77" s="171">
        <v>1216</v>
      </c>
      <c r="Y77" s="171">
        <v>1224</v>
      </c>
      <c r="Z77" s="171">
        <f>+Z76+Z67</f>
        <v>1221</v>
      </c>
      <c r="AA77" s="171">
        <f>+AA76+AA67</f>
        <v>1441</v>
      </c>
      <c r="AB77" s="171">
        <v>1452</v>
      </c>
    </row>
    <row r="78" spans="1:28" ht="15.6">
      <c r="A78" s="132"/>
      <c r="B78" s="123"/>
      <c r="C78" s="173"/>
      <c r="D78" s="173"/>
      <c r="E78" s="173"/>
      <c r="F78" s="173"/>
      <c r="G78" s="173"/>
      <c r="H78" s="173"/>
      <c r="I78" s="173"/>
      <c r="J78" s="173"/>
      <c r="K78" s="173"/>
      <c r="L78" s="173"/>
      <c r="M78" s="173"/>
      <c r="N78" s="173"/>
      <c r="O78" s="173">
        <v>0</v>
      </c>
      <c r="P78" s="173"/>
      <c r="Q78" s="173"/>
      <c r="R78" s="173">
        <v>0</v>
      </c>
      <c r="S78" s="173">
        <v>0</v>
      </c>
      <c r="T78" s="173">
        <v>0</v>
      </c>
      <c r="V78" s="123"/>
      <c r="W78" s="173"/>
      <c r="X78" s="173" t="e">
        <v>#REF!</v>
      </c>
      <c r="Y78" s="173">
        <v>0</v>
      </c>
    </row>
    <row r="79" spans="1:28" ht="15.6">
      <c r="A79" s="132"/>
      <c r="B79" s="177" t="s">
        <v>126</v>
      </c>
      <c r="C79" s="178"/>
      <c r="D79" s="178"/>
      <c r="E79" s="178"/>
      <c r="F79" s="178"/>
      <c r="G79" s="178"/>
      <c r="H79" s="178"/>
      <c r="I79" s="178"/>
      <c r="J79" s="178"/>
      <c r="K79" s="178"/>
      <c r="L79" s="178"/>
      <c r="M79" s="178"/>
      <c r="N79" s="178"/>
      <c r="O79" s="178"/>
      <c r="P79" s="178"/>
      <c r="Q79" s="178"/>
      <c r="R79" s="178"/>
      <c r="S79" s="178"/>
      <c r="T79" s="178"/>
      <c r="V79" s="177" t="s">
        <v>126</v>
      </c>
      <c r="W79" s="178"/>
      <c r="X79" s="178"/>
      <c r="Y79" s="178"/>
      <c r="Z79" s="178"/>
      <c r="AA79" s="178"/>
      <c r="AB79" s="178"/>
    </row>
    <row r="80" spans="1:28" s="36" customFormat="1" ht="15.6">
      <c r="A80" s="179"/>
      <c r="B80" s="169" t="s">
        <v>127</v>
      </c>
      <c r="C80" s="170">
        <v>320</v>
      </c>
      <c r="D80" s="170">
        <v>320</v>
      </c>
      <c r="E80" s="170">
        <v>320</v>
      </c>
      <c r="F80" s="170">
        <v>320</v>
      </c>
      <c r="G80" s="170">
        <v>331</v>
      </c>
      <c r="H80" s="170">
        <v>336</v>
      </c>
      <c r="I80" s="170">
        <v>343</v>
      </c>
      <c r="J80" s="170">
        <v>346</v>
      </c>
      <c r="K80" s="170">
        <v>346</v>
      </c>
      <c r="L80" s="170">
        <v>370</v>
      </c>
      <c r="M80" s="170">
        <v>370</v>
      </c>
      <c r="N80" s="170">
        <v>370</v>
      </c>
      <c r="O80" s="170">
        <v>370.13600000000002</v>
      </c>
      <c r="P80" s="170">
        <v>370</v>
      </c>
      <c r="Q80" s="170">
        <v>370</v>
      </c>
      <c r="R80" s="170">
        <v>370</v>
      </c>
      <c r="S80" s="170">
        <v>370</v>
      </c>
      <c r="T80" s="170">
        <v>370</v>
      </c>
      <c r="V80" s="169" t="s">
        <v>127</v>
      </c>
      <c r="W80" s="170">
        <v>370</v>
      </c>
      <c r="X80" s="170">
        <v>370</v>
      </c>
      <c r="Y80" s="170">
        <v>370</v>
      </c>
      <c r="Z80" s="170">
        <v>370</v>
      </c>
      <c r="AA80" s="36">
        <v>370</v>
      </c>
      <c r="AB80" s="36">
        <v>370</v>
      </c>
    </row>
    <row r="81" spans="1:28" s="36" customFormat="1" ht="15.6">
      <c r="A81" s="179"/>
      <c r="B81" s="169" t="s">
        <v>128</v>
      </c>
      <c r="C81" s="170">
        <v>0</v>
      </c>
      <c r="D81" s="170">
        <v>0</v>
      </c>
      <c r="E81" s="170">
        <v>0</v>
      </c>
      <c r="F81" s="170">
        <v>0</v>
      </c>
      <c r="G81" s="170">
        <v>0</v>
      </c>
      <c r="H81" s="170">
        <v>0</v>
      </c>
      <c r="I81" s="170">
        <v>0</v>
      </c>
      <c r="J81" s="170">
        <v>0</v>
      </c>
      <c r="K81" s="170">
        <v>0</v>
      </c>
      <c r="L81" s="170">
        <v>0</v>
      </c>
      <c r="M81" s="170">
        <v>0</v>
      </c>
      <c r="N81" s="170">
        <v>0</v>
      </c>
      <c r="O81" s="170">
        <v>0</v>
      </c>
      <c r="P81" s="170"/>
      <c r="Q81" s="170"/>
      <c r="R81" s="170">
        <v>0</v>
      </c>
      <c r="S81" s="170">
        <v>0</v>
      </c>
      <c r="T81" s="170">
        <v>0</v>
      </c>
      <c r="V81" s="169" t="s">
        <v>128</v>
      </c>
      <c r="W81" s="170">
        <v>0</v>
      </c>
      <c r="X81" s="170">
        <v>0</v>
      </c>
      <c r="Y81" s="170">
        <v>0</v>
      </c>
      <c r="Z81" s="170">
        <v>0</v>
      </c>
    </row>
    <row r="82" spans="1:28" s="36" customFormat="1" ht="15.6">
      <c r="A82" s="179"/>
      <c r="B82" s="169" t="s">
        <v>129</v>
      </c>
      <c r="C82" s="170">
        <v>-2</v>
      </c>
      <c r="D82" s="170">
        <v>-1</v>
      </c>
      <c r="E82" s="170">
        <v>-5</v>
      </c>
      <c r="F82" s="170">
        <v>-5</v>
      </c>
      <c r="G82" s="170">
        <v>-7</v>
      </c>
      <c r="H82" s="170">
        <v>0</v>
      </c>
      <c r="I82" s="170">
        <v>0</v>
      </c>
      <c r="J82" s="170">
        <v>0</v>
      </c>
      <c r="K82" s="170">
        <v>0</v>
      </c>
      <c r="L82" s="170">
        <v>0</v>
      </c>
      <c r="M82" s="170">
        <v>0</v>
      </c>
      <c r="N82" s="170">
        <v>0</v>
      </c>
      <c r="O82" s="170">
        <v>0.214</v>
      </c>
      <c r="P82" s="170"/>
      <c r="Q82" s="170"/>
      <c r="R82" s="170">
        <v>0</v>
      </c>
      <c r="S82" s="170">
        <v>0</v>
      </c>
      <c r="T82" s="170">
        <v>0</v>
      </c>
      <c r="V82" s="169" t="s">
        <v>129</v>
      </c>
      <c r="W82" s="170">
        <v>0</v>
      </c>
      <c r="X82" s="170">
        <v>0</v>
      </c>
      <c r="Y82" s="170">
        <v>0</v>
      </c>
      <c r="Z82" s="170">
        <v>0</v>
      </c>
    </row>
    <row r="83" spans="1:28" s="36" customFormat="1" ht="15.6">
      <c r="A83" s="179"/>
      <c r="B83" s="169" t="s">
        <v>130</v>
      </c>
      <c r="C83" s="170">
        <v>-1</v>
      </c>
      <c r="D83" s="170">
        <v>2</v>
      </c>
      <c r="E83" s="170">
        <v>-3</v>
      </c>
      <c r="F83" s="170">
        <v>-3</v>
      </c>
      <c r="G83" s="170">
        <v>-3</v>
      </c>
      <c r="H83" s="170">
        <v>-3</v>
      </c>
      <c r="I83" s="170">
        <v>8</v>
      </c>
      <c r="J83" s="170">
        <v>8</v>
      </c>
      <c r="K83" s="170">
        <v>8</v>
      </c>
      <c r="L83" s="170">
        <v>8</v>
      </c>
      <c r="M83" s="170">
        <v>20</v>
      </c>
      <c r="N83" s="170">
        <v>20</v>
      </c>
      <c r="O83" s="170">
        <v>19.891999999999999</v>
      </c>
      <c r="P83" s="170">
        <v>20</v>
      </c>
      <c r="Q83" s="170">
        <v>24</v>
      </c>
      <c r="R83" s="170">
        <v>23</v>
      </c>
      <c r="S83" s="170">
        <v>-55</v>
      </c>
      <c r="T83" s="170">
        <v>-55</v>
      </c>
      <c r="V83" s="169" t="s">
        <v>130</v>
      </c>
      <c r="W83" s="170">
        <v>-54</v>
      </c>
      <c r="X83" s="170">
        <v>-55</v>
      </c>
      <c r="Y83" s="170">
        <v>-55</v>
      </c>
      <c r="Z83" s="170">
        <v>-55</v>
      </c>
      <c r="AA83" s="36">
        <v>-59</v>
      </c>
      <c r="AB83" s="36">
        <v>-59</v>
      </c>
    </row>
    <row r="84" spans="1:28" s="36" customFormat="1" ht="15.6">
      <c r="A84" s="179"/>
      <c r="B84" s="169" t="s">
        <v>131</v>
      </c>
      <c r="C84" s="170">
        <v>3</v>
      </c>
      <c r="D84" s="170">
        <v>-4</v>
      </c>
      <c r="E84" s="170">
        <v>0</v>
      </c>
      <c r="F84" s="170">
        <v>-3</v>
      </c>
      <c r="G84" s="170">
        <v>5</v>
      </c>
      <c r="H84" s="170">
        <v>11</v>
      </c>
      <c r="I84" s="170">
        <v>2</v>
      </c>
      <c r="J84" s="170">
        <v>21</v>
      </c>
      <c r="K84" s="170">
        <v>28</v>
      </c>
      <c r="L84" s="170">
        <v>12</v>
      </c>
      <c r="M84" s="170">
        <v>-2</v>
      </c>
      <c r="N84" s="170">
        <v>-1</v>
      </c>
      <c r="O84" s="170">
        <v>-0.55300000000000005</v>
      </c>
      <c r="P84" s="170">
        <v>4</v>
      </c>
      <c r="Q84" s="170">
        <v>-1</v>
      </c>
      <c r="R84" s="170">
        <v>1</v>
      </c>
      <c r="S84" s="170">
        <v>1</v>
      </c>
      <c r="T84" s="170">
        <v>1</v>
      </c>
      <c r="V84" s="169" t="s">
        <v>131</v>
      </c>
      <c r="W84" s="170">
        <v>1</v>
      </c>
      <c r="X84" s="170">
        <v>-5</v>
      </c>
      <c r="Y84" s="170">
        <v>-6</v>
      </c>
      <c r="Z84" s="170">
        <v>-4</v>
      </c>
      <c r="AA84" s="653">
        <f>+AA24</f>
        <v>2</v>
      </c>
      <c r="AB84" s="653">
        <v>3</v>
      </c>
    </row>
    <row r="85" spans="1:28" s="36" customFormat="1" ht="15.6">
      <c r="A85" s="179"/>
      <c r="B85" s="169" t="s">
        <v>132</v>
      </c>
      <c r="C85" s="170">
        <v>8</v>
      </c>
      <c r="D85" s="170">
        <v>4</v>
      </c>
      <c r="E85" s="170">
        <v>18</v>
      </c>
      <c r="F85" s="170">
        <v>21</v>
      </c>
      <c r="G85" s="170">
        <v>28</v>
      </c>
      <c r="H85" s="170">
        <v>8</v>
      </c>
      <c r="I85" s="170">
        <v>-3</v>
      </c>
      <c r="J85" s="170">
        <v>-24</v>
      </c>
      <c r="K85" s="170">
        <v>-40</v>
      </c>
      <c r="L85" s="170">
        <v>-26</v>
      </c>
      <c r="M85" s="170">
        <v>-74</v>
      </c>
      <c r="N85" s="170">
        <v>-73</v>
      </c>
      <c r="O85" s="170">
        <v>-69.022000000000006</v>
      </c>
      <c r="P85" s="170">
        <v>-61</v>
      </c>
      <c r="Q85" s="170">
        <v>-32</v>
      </c>
      <c r="R85" s="170">
        <v>-41</v>
      </c>
      <c r="S85" s="170">
        <v>0</v>
      </c>
      <c r="T85" s="170">
        <v>0</v>
      </c>
      <c r="V85" s="169" t="s">
        <v>132</v>
      </c>
      <c r="W85" s="170">
        <v>0</v>
      </c>
      <c r="X85" s="170">
        <v>0</v>
      </c>
      <c r="Y85" s="170">
        <v>0</v>
      </c>
      <c r="Z85" s="170">
        <v>0</v>
      </c>
    </row>
    <row r="86" spans="1:28" ht="15.6">
      <c r="A86" s="132"/>
      <c r="B86" s="167" t="s">
        <v>135</v>
      </c>
      <c r="C86" s="172">
        <f t="shared" ref="C86:N86" si="7">SUM(C80:C85)</f>
        <v>328</v>
      </c>
      <c r="D86" s="172">
        <f t="shared" si="7"/>
        <v>321</v>
      </c>
      <c r="E86" s="172">
        <f t="shared" si="7"/>
        <v>330</v>
      </c>
      <c r="F86" s="172">
        <f t="shared" si="7"/>
        <v>330</v>
      </c>
      <c r="G86" s="172">
        <f t="shared" si="7"/>
        <v>354</v>
      </c>
      <c r="H86" s="172">
        <f t="shared" si="7"/>
        <v>352</v>
      </c>
      <c r="I86" s="172">
        <f t="shared" si="7"/>
        <v>350</v>
      </c>
      <c r="J86" s="172">
        <f t="shared" si="7"/>
        <v>351</v>
      </c>
      <c r="K86" s="172">
        <f t="shared" si="7"/>
        <v>342</v>
      </c>
      <c r="L86" s="172">
        <f t="shared" si="7"/>
        <v>364</v>
      </c>
      <c r="M86" s="172">
        <f t="shared" si="7"/>
        <v>314</v>
      </c>
      <c r="N86" s="172">
        <f t="shared" si="7"/>
        <v>316</v>
      </c>
      <c r="O86" s="172">
        <v>320.66699999999997</v>
      </c>
      <c r="P86" s="172">
        <f>SUM(P80:P85)</f>
        <v>333</v>
      </c>
      <c r="Q86" s="172">
        <v>361</v>
      </c>
      <c r="R86" s="172">
        <v>353</v>
      </c>
      <c r="S86" s="172">
        <v>316</v>
      </c>
      <c r="T86" s="172">
        <v>316</v>
      </c>
      <c r="V86" s="167" t="s">
        <v>135</v>
      </c>
      <c r="W86" s="172">
        <v>315</v>
      </c>
      <c r="X86" s="172">
        <v>310</v>
      </c>
      <c r="Y86" s="172">
        <v>309</v>
      </c>
      <c r="Z86" s="172">
        <f>SUM(Z80:Z85)</f>
        <v>311</v>
      </c>
      <c r="AA86" s="172">
        <f>SUM(AA80:AA85)</f>
        <v>313</v>
      </c>
      <c r="AB86" s="172">
        <v>314</v>
      </c>
    </row>
    <row r="87" spans="1:28" ht="15.6">
      <c r="A87" s="132"/>
      <c r="B87" s="121" t="s">
        <v>136</v>
      </c>
      <c r="C87" s="171">
        <f t="shared" ref="C87:N87" si="8">+C77+C86</f>
        <v>595</v>
      </c>
      <c r="D87" s="171">
        <f t="shared" si="8"/>
        <v>786</v>
      </c>
      <c r="E87" s="171">
        <f t="shared" si="8"/>
        <v>857</v>
      </c>
      <c r="F87" s="171">
        <f t="shared" si="8"/>
        <v>936</v>
      </c>
      <c r="G87" s="171">
        <f t="shared" si="8"/>
        <v>950</v>
      </c>
      <c r="H87" s="171">
        <f t="shared" si="8"/>
        <v>1075</v>
      </c>
      <c r="I87" s="171">
        <f t="shared" si="8"/>
        <v>1084</v>
      </c>
      <c r="J87" s="171">
        <f t="shared" si="8"/>
        <v>1104</v>
      </c>
      <c r="K87" s="171">
        <f t="shared" si="8"/>
        <v>1133</v>
      </c>
      <c r="L87" s="171">
        <f t="shared" si="8"/>
        <v>1257</v>
      </c>
      <c r="M87" s="171">
        <f t="shared" si="8"/>
        <v>1279</v>
      </c>
      <c r="N87" s="171">
        <f t="shared" si="8"/>
        <v>1367</v>
      </c>
      <c r="O87" s="171">
        <v>1371.2149999999999</v>
      </c>
      <c r="P87" s="171">
        <f>+P77+P86</f>
        <v>1410</v>
      </c>
      <c r="Q87" s="171">
        <v>1397</v>
      </c>
      <c r="R87" s="171">
        <v>1404</v>
      </c>
      <c r="S87" s="171">
        <v>1714</v>
      </c>
      <c r="T87" s="171">
        <v>1701</v>
      </c>
      <c r="V87" s="121" t="s">
        <v>136</v>
      </c>
      <c r="W87" s="171">
        <v>1547</v>
      </c>
      <c r="X87" s="171">
        <v>1526</v>
      </c>
      <c r="Y87" s="171">
        <v>1533</v>
      </c>
      <c r="Z87" s="171">
        <f>+Z86+Z77</f>
        <v>1532</v>
      </c>
      <c r="AA87" s="171">
        <f>+AA86+AA77</f>
        <v>1754</v>
      </c>
      <c r="AB87" s="171">
        <v>1766</v>
      </c>
    </row>
    <row r="88" spans="1:28" ht="15.6">
      <c r="A88" s="132"/>
      <c r="B88" s="132"/>
      <c r="C88" s="132"/>
      <c r="D88" s="132"/>
      <c r="E88" s="132"/>
      <c r="F88" s="132"/>
      <c r="G88" s="132"/>
      <c r="H88" s="132"/>
      <c r="I88" s="132"/>
      <c r="J88" s="132"/>
      <c r="K88" s="132"/>
      <c r="L88" s="132"/>
      <c r="M88" s="132"/>
      <c r="N88" s="132"/>
      <c r="O88" s="132"/>
    </row>
  </sheetData>
  <phoneticPr fontId="194"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dimension ref="A1:O94"/>
  <sheetViews>
    <sheetView showGridLines="0" zoomScaleNormal="100" workbookViewId="0">
      <pane xSplit="2" ySplit="6" topLeftCell="J93" activePane="bottomRight" state="frozen"/>
      <selection pane="topRight" activeCell="C1" sqref="C1"/>
      <selection pane="bottomLeft" activeCell="A7" sqref="A7"/>
      <selection pane="bottomRight" activeCell="O6" sqref="O6:O93"/>
    </sheetView>
  </sheetViews>
  <sheetFormatPr baseColWidth="10" defaultColWidth="11.44140625" defaultRowHeight="14.4"/>
  <cols>
    <col min="1" max="1" width="2.88671875" customWidth="1"/>
    <col min="2" max="2" width="64.88671875" customWidth="1"/>
    <col min="3" max="3" width="14.44140625" customWidth="1"/>
    <col min="4" max="5" width="13.6640625" customWidth="1"/>
    <col min="6" max="6" width="13.88671875" bestFit="1" customWidth="1"/>
    <col min="7" max="7" width="15.109375" bestFit="1" customWidth="1"/>
    <col min="8" max="8" width="5.6640625" customWidth="1"/>
    <col min="9" max="9" width="48.33203125" bestFit="1" customWidth="1"/>
    <col min="10" max="15" width="13.88671875" bestFit="1" customWidth="1"/>
    <col min="16" max="16" width="13.109375" customWidth="1"/>
  </cols>
  <sheetData>
    <row r="1" spans="1:15">
      <c r="A1" s="1" t="s">
        <v>37</v>
      </c>
    </row>
    <row r="3" spans="1:15" ht="15.6">
      <c r="A3" s="132"/>
      <c r="B3" s="54" t="s">
        <v>467</v>
      </c>
      <c r="C3" s="29"/>
      <c r="D3" s="29"/>
      <c r="E3" s="29"/>
      <c r="F3" s="132"/>
      <c r="G3" s="554"/>
      <c r="H3" s="132"/>
      <c r="I3" s="132"/>
      <c r="J3" s="132"/>
      <c r="K3" s="132"/>
      <c r="L3" s="132"/>
      <c r="M3" s="132"/>
      <c r="N3" s="132"/>
      <c r="O3" s="132"/>
    </row>
    <row r="4" spans="1:15">
      <c r="B4" s="329" t="s">
        <v>39</v>
      </c>
      <c r="C4" s="4"/>
      <c r="D4" s="4"/>
      <c r="E4" s="4"/>
      <c r="G4" s="33"/>
    </row>
    <row r="5" spans="1:15" ht="15.6">
      <c r="B5" s="31"/>
      <c r="C5" s="31"/>
      <c r="D5" s="31"/>
      <c r="E5" s="31"/>
      <c r="F5" s="555"/>
      <c r="G5" s="33"/>
    </row>
    <row r="6" spans="1:15">
      <c r="B6" s="324"/>
      <c r="C6" s="325" t="s">
        <v>51</v>
      </c>
      <c r="D6" s="325" t="s">
        <v>52</v>
      </c>
      <c r="E6" s="325" t="s">
        <v>53</v>
      </c>
      <c r="F6" s="325" t="s">
        <v>54</v>
      </c>
      <c r="G6" s="325" t="s">
        <v>55</v>
      </c>
      <c r="J6" s="325" t="s">
        <v>87</v>
      </c>
      <c r="K6" s="325" t="s">
        <v>56</v>
      </c>
      <c r="L6" s="325" t="s">
        <v>57</v>
      </c>
      <c r="M6" s="325" t="s">
        <v>1154</v>
      </c>
      <c r="N6" s="325" t="s">
        <v>1169</v>
      </c>
      <c r="O6" s="325" t="s">
        <v>1207</v>
      </c>
    </row>
    <row r="7" spans="1:15">
      <c r="B7" s="326"/>
      <c r="C7" s="327"/>
      <c r="D7" s="327"/>
      <c r="E7" s="327"/>
      <c r="F7" s="327"/>
      <c r="G7" s="327"/>
    </row>
    <row r="8" spans="1:15">
      <c r="B8" s="38" t="s">
        <v>58</v>
      </c>
      <c r="C8" s="9">
        <f>+ROUND(26979696861/1000000,0)</f>
        <v>26980</v>
      </c>
      <c r="D8" s="9">
        <v>42471</v>
      </c>
      <c r="E8" s="9">
        <v>28148</v>
      </c>
      <c r="F8" s="9">
        <v>4064</v>
      </c>
      <c r="G8" s="9">
        <v>10697</v>
      </c>
      <c r="I8" s="38" t="s">
        <v>58</v>
      </c>
      <c r="J8" s="9">
        <v>131</v>
      </c>
      <c r="K8" s="9">
        <v>1208</v>
      </c>
      <c r="L8" s="9">
        <v>32539</v>
      </c>
      <c r="M8" s="9">
        <v>1554</v>
      </c>
      <c r="N8" s="9">
        <f>2698297479.21/1000000</f>
        <v>2698.2974792099999</v>
      </c>
      <c r="O8" s="9">
        <v>3651.3683726800004</v>
      </c>
    </row>
    <row r="9" spans="1:15">
      <c r="B9" s="38" t="s">
        <v>59</v>
      </c>
      <c r="C9" s="9">
        <f>+ROUND(24682648811/1000000,0)</f>
        <v>24683</v>
      </c>
      <c r="D9" s="9">
        <v>33977</v>
      </c>
      <c r="E9" s="9">
        <v>22518</v>
      </c>
      <c r="F9" s="9">
        <v>3246</v>
      </c>
      <c r="G9" s="9">
        <v>8596</v>
      </c>
      <c r="I9" s="38" t="s">
        <v>59</v>
      </c>
      <c r="J9" s="9">
        <v>360</v>
      </c>
      <c r="K9" s="9">
        <v>1355</v>
      </c>
      <c r="L9" s="9">
        <v>28302</v>
      </c>
      <c r="M9" s="9">
        <v>1262</v>
      </c>
      <c r="N9" s="9">
        <v>2388</v>
      </c>
      <c r="O9" s="9">
        <v>3231.2994445299996</v>
      </c>
    </row>
    <row r="10" spans="1:15">
      <c r="B10" s="222" t="s">
        <v>60</v>
      </c>
      <c r="C10" s="10">
        <f>+C8-C9</f>
        <v>2297</v>
      </c>
      <c r="D10" s="10">
        <f>+D8-D9</f>
        <v>8494</v>
      </c>
      <c r="E10" s="10">
        <v>5630</v>
      </c>
      <c r="F10" s="10">
        <f>+F8-F9</f>
        <v>818</v>
      </c>
      <c r="G10" s="10">
        <v>2101</v>
      </c>
      <c r="I10" s="222" t="s">
        <v>61</v>
      </c>
      <c r="J10" s="57">
        <v>-229</v>
      </c>
      <c r="K10" s="57">
        <v>-147</v>
      </c>
      <c r="L10" s="57">
        <v>4237</v>
      </c>
      <c r="M10" s="57">
        <f>+M8-M9</f>
        <v>292</v>
      </c>
      <c r="N10" s="57">
        <f>+N8-N9</f>
        <v>310.29747920999989</v>
      </c>
      <c r="O10" s="57">
        <f>+O8-O9</f>
        <v>420.06892815000083</v>
      </c>
    </row>
    <row r="11" spans="1:15">
      <c r="B11" s="38"/>
      <c r="C11" s="9"/>
      <c r="D11" s="9"/>
      <c r="E11" s="9"/>
      <c r="F11" s="9"/>
      <c r="G11" s="9"/>
      <c r="J11" s="9"/>
      <c r="K11" s="9">
        <v>0</v>
      </c>
      <c r="L11" s="9">
        <v>0</v>
      </c>
      <c r="M11" s="9"/>
      <c r="N11" s="9"/>
      <c r="O11" s="9"/>
    </row>
    <row r="12" spans="1:15">
      <c r="B12" s="38" t="s">
        <v>468</v>
      </c>
      <c r="C12" s="9">
        <f>+ROUND(17176016432.53/1000000,0)</f>
        <v>17176</v>
      </c>
      <c r="D12" s="9">
        <v>10999</v>
      </c>
      <c r="E12" s="9">
        <v>11821</v>
      </c>
      <c r="F12" s="9">
        <v>12422</v>
      </c>
      <c r="G12" s="9">
        <v>14296</v>
      </c>
      <c r="I12" s="38" t="str">
        <f>+B12</f>
        <v>Ingresos por servicios de operación de vías</v>
      </c>
      <c r="J12" s="9">
        <v>10985</v>
      </c>
      <c r="K12" s="9">
        <v>11533</v>
      </c>
      <c r="L12" s="9">
        <v>12638</v>
      </c>
      <c r="M12" s="9">
        <v>21824</v>
      </c>
      <c r="N12" s="9">
        <f>13323778573.42/1000000</f>
        <v>13323.778573420001</v>
      </c>
      <c r="O12" s="9">
        <v>19508.061013760002</v>
      </c>
    </row>
    <row r="13" spans="1:15">
      <c r="B13" s="38" t="s">
        <v>469</v>
      </c>
      <c r="C13" s="9">
        <f>+ROUND(67678981813/1000000,0)-C12</f>
        <v>50503</v>
      </c>
      <c r="D13" s="9">
        <v>50409</v>
      </c>
      <c r="E13" s="9">
        <v>49383</v>
      </c>
      <c r="F13" s="9">
        <v>50606</v>
      </c>
      <c r="G13" s="9">
        <v>52648</v>
      </c>
      <c r="I13" s="38" t="str">
        <f t="shared" ref="I13:I15" si="0">+B13</f>
        <v>Rendimientos financieros del activo de concesión</v>
      </c>
      <c r="J13" s="9">
        <v>54130</v>
      </c>
      <c r="K13" s="9">
        <v>57533</v>
      </c>
      <c r="L13" s="9">
        <v>63212</v>
      </c>
      <c r="M13" s="9">
        <v>74090</v>
      </c>
      <c r="N13" s="9">
        <f>70755407846.04/1000000</f>
        <v>70755.407846039991</v>
      </c>
      <c r="O13" s="9">
        <v>64124.600368260013</v>
      </c>
    </row>
    <row r="14" spans="1:15">
      <c r="B14" s="38" t="s">
        <v>68</v>
      </c>
      <c r="C14" s="9">
        <v>0</v>
      </c>
      <c r="D14" s="9">
        <v>0</v>
      </c>
      <c r="E14" s="9">
        <v>0</v>
      </c>
      <c r="F14" s="9">
        <v>0</v>
      </c>
      <c r="G14" s="9">
        <v>0</v>
      </c>
      <c r="I14" s="38" t="str">
        <f t="shared" si="0"/>
        <v>Otros ingresos operacionales</v>
      </c>
      <c r="J14" s="9"/>
      <c r="K14" s="9">
        <v>0</v>
      </c>
      <c r="L14" s="9">
        <v>0</v>
      </c>
      <c r="M14" s="9">
        <v>0</v>
      </c>
      <c r="N14" s="9">
        <v>0</v>
      </c>
      <c r="O14" s="9">
        <v>0</v>
      </c>
    </row>
    <row r="15" spans="1:15">
      <c r="B15" s="38" t="s">
        <v>69</v>
      </c>
      <c r="C15" s="9">
        <f>+ROUND(38503779139/1000000,0)-C9</f>
        <v>13821</v>
      </c>
      <c r="D15" s="9">
        <v>10823</v>
      </c>
      <c r="E15" s="9">
        <v>10906</v>
      </c>
      <c r="F15" s="9">
        <v>12077</v>
      </c>
      <c r="G15" s="9">
        <v>13772</v>
      </c>
      <c r="I15" s="38" t="str">
        <f t="shared" si="0"/>
        <v>Costos y gastos AOM</v>
      </c>
      <c r="J15" s="9">
        <v>11937</v>
      </c>
      <c r="K15" s="9">
        <v>11830</v>
      </c>
      <c r="L15" s="9">
        <v>12848</v>
      </c>
      <c r="M15" s="9">
        <v>23595</v>
      </c>
      <c r="N15" s="9">
        <v>12417</v>
      </c>
      <c r="O15" s="9">
        <v>16918.268052120002</v>
      </c>
    </row>
    <row r="16" spans="1:15">
      <c r="B16" s="222" t="s">
        <v>70</v>
      </c>
      <c r="C16" s="10">
        <f t="shared" ref="C16:D16" si="1">+SUM(C12:C14)-C15</f>
        <v>53858</v>
      </c>
      <c r="D16" s="10">
        <f t="shared" si="1"/>
        <v>50585</v>
      </c>
      <c r="E16" s="10">
        <v>50298</v>
      </c>
      <c r="F16" s="10">
        <f t="shared" ref="F16" si="2">+SUM(F12:F14)-F15</f>
        <v>50951</v>
      </c>
      <c r="G16" s="10">
        <v>53172</v>
      </c>
      <c r="I16" s="38" t="s">
        <v>71</v>
      </c>
      <c r="J16" s="9">
        <v>384</v>
      </c>
      <c r="K16" s="9">
        <v>1132</v>
      </c>
      <c r="L16" s="9">
        <v>942</v>
      </c>
      <c r="M16" s="9">
        <v>937</v>
      </c>
      <c r="N16" s="9">
        <f>+N10</f>
        <v>310.29747920999989</v>
      </c>
      <c r="O16" s="9">
        <v>433</v>
      </c>
    </row>
    <row r="17" spans="2:15">
      <c r="B17" s="223" t="s">
        <v>72</v>
      </c>
      <c r="C17" s="56">
        <f t="shared" ref="C17:D17" si="3">+C16+C10</f>
        <v>56155</v>
      </c>
      <c r="D17" s="56">
        <f t="shared" si="3"/>
        <v>59079</v>
      </c>
      <c r="E17" s="56">
        <v>55928</v>
      </c>
      <c r="F17" s="56">
        <f t="shared" ref="F17" si="4">+F16+F10</f>
        <v>51769</v>
      </c>
      <c r="G17" s="56">
        <v>55273</v>
      </c>
      <c r="I17" s="223" t="s">
        <v>387</v>
      </c>
      <c r="J17" s="57">
        <v>52794</v>
      </c>
      <c r="K17" s="57">
        <v>56104</v>
      </c>
      <c r="L17" s="57">
        <v>62060</v>
      </c>
      <c r="M17" s="57">
        <v>71382</v>
      </c>
      <c r="N17" s="57">
        <f>+N12+N13+N14-N15+N16</f>
        <v>71972.483898669991</v>
      </c>
      <c r="O17" s="57">
        <f>+O12+O13+O14-O15-O16+O10</f>
        <v>66701.462258050014</v>
      </c>
    </row>
    <row r="18" spans="2:15">
      <c r="B18" s="328"/>
      <c r="C18" s="39"/>
      <c r="D18" s="39"/>
      <c r="E18" s="39"/>
      <c r="F18" s="4"/>
      <c r="G18" s="4"/>
      <c r="J18" s="9"/>
      <c r="K18" s="9"/>
      <c r="L18" s="9"/>
      <c r="M18" s="9"/>
      <c r="N18" s="9"/>
      <c r="O18" s="9"/>
    </row>
    <row r="19" spans="2:15">
      <c r="B19" s="38" t="s">
        <v>71</v>
      </c>
      <c r="C19" s="9">
        <f>ROUND(256915561/1000000,0)</f>
        <v>257</v>
      </c>
      <c r="D19" s="9">
        <v>363</v>
      </c>
      <c r="E19" s="9">
        <v>443</v>
      </c>
      <c r="F19" s="9">
        <v>356</v>
      </c>
      <c r="G19" s="9">
        <v>351</v>
      </c>
      <c r="J19" s="9"/>
      <c r="K19" s="9">
        <v>0</v>
      </c>
      <c r="L19" s="9">
        <v>0</v>
      </c>
      <c r="M19" s="9">
        <v>0</v>
      </c>
      <c r="N19" s="9">
        <v>0</v>
      </c>
      <c r="O19" s="9">
        <v>0</v>
      </c>
    </row>
    <row r="20" spans="2:15">
      <c r="B20" s="38" t="s">
        <v>74</v>
      </c>
      <c r="C20" s="9">
        <v>0</v>
      </c>
      <c r="D20" s="9">
        <v>0</v>
      </c>
      <c r="E20" s="9">
        <v>0</v>
      </c>
      <c r="F20" s="9"/>
      <c r="G20" s="9">
        <v>0</v>
      </c>
      <c r="I20" s="38" t="s">
        <v>74</v>
      </c>
      <c r="J20" s="9">
        <v>0</v>
      </c>
      <c r="K20" s="9">
        <v>0</v>
      </c>
      <c r="L20" s="9">
        <v>0</v>
      </c>
      <c r="M20" s="9">
        <v>0</v>
      </c>
      <c r="N20" s="9">
        <v>0</v>
      </c>
      <c r="O20" s="9">
        <v>0</v>
      </c>
    </row>
    <row r="21" spans="2:15">
      <c r="B21" s="38" t="s">
        <v>75</v>
      </c>
      <c r="C21" s="9">
        <f>-ROUND(2636082778/1000000,0)</f>
        <v>-2636</v>
      </c>
      <c r="D21" s="9">
        <v>-1711</v>
      </c>
      <c r="E21" s="9">
        <v>-415</v>
      </c>
      <c r="F21" s="9">
        <v>-1961</v>
      </c>
      <c r="G21" s="9">
        <v>29</v>
      </c>
      <c r="I21" s="38" t="s">
        <v>75</v>
      </c>
      <c r="J21" s="9">
        <v>-1675</v>
      </c>
      <c r="K21" s="9">
        <v>40</v>
      </c>
      <c r="L21" s="9">
        <v>-1730</v>
      </c>
      <c r="M21" s="9">
        <v>1</v>
      </c>
      <c r="N21" s="9">
        <v>-2814</v>
      </c>
      <c r="O21" s="9">
        <v>-1755.60177211</v>
      </c>
    </row>
    <row r="22" spans="2:15">
      <c r="B22" s="223" t="s">
        <v>76</v>
      </c>
      <c r="C22" s="57">
        <f>+C17-C19+C20+C21</f>
        <v>53262</v>
      </c>
      <c r="D22" s="57">
        <f>+D17-D19+D20+D21</f>
        <v>57005</v>
      </c>
      <c r="E22" s="57">
        <v>55070</v>
      </c>
      <c r="F22" s="57">
        <f>+F17-F19+F20+F21</f>
        <v>49452</v>
      </c>
      <c r="G22" s="57">
        <v>54951</v>
      </c>
      <c r="I22" s="223" t="s">
        <v>76</v>
      </c>
      <c r="J22" s="57">
        <v>50890</v>
      </c>
      <c r="K22" s="57">
        <v>55997</v>
      </c>
      <c r="L22" s="57">
        <v>64567</v>
      </c>
      <c r="M22" s="57">
        <v>71675</v>
      </c>
      <c r="N22" s="57">
        <f>+N17+N21</f>
        <v>69158.483898669991</v>
      </c>
      <c r="O22" s="57">
        <f>+O17+O21</f>
        <v>64945.860485940015</v>
      </c>
    </row>
    <row r="23" spans="2:15">
      <c r="B23" s="38"/>
      <c r="C23" s="9"/>
      <c r="D23" s="9"/>
      <c r="E23" s="9"/>
      <c r="F23" s="9"/>
      <c r="G23" s="9"/>
      <c r="I23" s="38"/>
      <c r="J23" s="9">
        <v>0</v>
      </c>
      <c r="K23" s="9">
        <v>0</v>
      </c>
      <c r="L23" s="9">
        <v>0</v>
      </c>
      <c r="M23" s="9"/>
      <c r="N23" s="9"/>
      <c r="O23" s="9"/>
    </row>
    <row r="24" spans="2:15">
      <c r="B24" s="38" t="s">
        <v>77</v>
      </c>
      <c r="C24" s="9">
        <v>-45995</v>
      </c>
      <c r="D24" s="9">
        <v>-40546</v>
      </c>
      <c r="E24" s="9">
        <v>-48863</v>
      </c>
      <c r="F24" s="9">
        <v>-51015</v>
      </c>
      <c r="G24" s="9">
        <v>-49896</v>
      </c>
      <c r="I24" s="38" t="s">
        <v>77</v>
      </c>
      <c r="J24" s="9">
        <v>-65311</v>
      </c>
      <c r="K24" s="9">
        <v>-66066</v>
      </c>
      <c r="L24" s="9">
        <v>-64110</v>
      </c>
      <c r="M24" s="9">
        <v>-66264</v>
      </c>
      <c r="N24" s="9">
        <v>-77267</v>
      </c>
      <c r="O24" s="9">
        <v>-68144.672303759959</v>
      </c>
    </row>
    <row r="25" spans="2:15">
      <c r="B25" s="223" t="s">
        <v>78</v>
      </c>
      <c r="C25" s="57">
        <f>+C22+C24</f>
        <v>7267</v>
      </c>
      <c r="D25" s="57">
        <f>+D22+D24</f>
        <v>16459</v>
      </c>
      <c r="E25" s="57">
        <v>6207</v>
      </c>
      <c r="F25" s="57">
        <f>+F22+F24</f>
        <v>-1563</v>
      </c>
      <c r="G25" s="57">
        <v>5055</v>
      </c>
      <c r="I25" s="223" t="s">
        <v>78</v>
      </c>
      <c r="J25" s="57">
        <v>-14421</v>
      </c>
      <c r="K25" s="57">
        <v>-10069</v>
      </c>
      <c r="L25" s="57">
        <v>457</v>
      </c>
      <c r="M25" s="57">
        <v>5411</v>
      </c>
      <c r="N25" s="57">
        <f>+N22+N24</f>
        <v>-8108.5161013300094</v>
      </c>
      <c r="O25" s="57">
        <f>+O22+O24</f>
        <v>-3198.8118178199438</v>
      </c>
    </row>
    <row r="26" spans="2:15">
      <c r="B26" s="328"/>
      <c r="C26" s="39"/>
      <c r="D26" s="39"/>
      <c r="E26" s="39"/>
      <c r="F26" s="39"/>
      <c r="G26" s="39"/>
      <c r="I26" s="328"/>
      <c r="J26" s="9">
        <v>0</v>
      </c>
      <c r="K26" s="9">
        <v>0</v>
      </c>
      <c r="L26" s="9">
        <v>0</v>
      </c>
      <c r="M26" s="9"/>
      <c r="N26" s="9"/>
      <c r="O26" s="9"/>
    </row>
    <row r="27" spans="2:15">
      <c r="B27" s="38" t="s">
        <v>79</v>
      </c>
      <c r="C27" s="9">
        <f>+ROUND(12177220811/1000000,0)</f>
        <v>12177</v>
      </c>
      <c r="D27" s="9">
        <v>4853</v>
      </c>
      <c r="E27" s="9">
        <v>-7670</v>
      </c>
      <c r="F27" s="9">
        <v>6221</v>
      </c>
      <c r="G27" s="9">
        <v>40139</v>
      </c>
      <c r="I27" s="38" t="s">
        <v>79</v>
      </c>
      <c r="J27" s="9">
        <v>-1085</v>
      </c>
      <c r="K27" s="9">
        <v>-11660</v>
      </c>
      <c r="L27" s="9">
        <v>1357</v>
      </c>
      <c r="M27" s="9">
        <v>4170</v>
      </c>
      <c r="N27" s="9">
        <v>-3635</v>
      </c>
      <c r="O27" s="9">
        <v>-425.32451400000019</v>
      </c>
    </row>
    <row r="28" spans="2:15">
      <c r="B28" s="223" t="s">
        <v>82</v>
      </c>
      <c r="C28" s="57">
        <f t="shared" ref="C28:D28" si="5">+C25-C27</f>
        <v>-4910</v>
      </c>
      <c r="D28" s="57">
        <f t="shared" si="5"/>
        <v>11606</v>
      </c>
      <c r="E28" s="57">
        <v>13877</v>
      </c>
      <c r="F28" s="57">
        <f t="shared" ref="F28" si="6">+F25-F27</f>
        <v>-7784</v>
      </c>
      <c r="G28" s="57">
        <v>-35084</v>
      </c>
      <c r="I28" s="223" t="s">
        <v>82</v>
      </c>
      <c r="J28" s="57">
        <v>-15506</v>
      </c>
      <c r="K28" s="57">
        <v>3760</v>
      </c>
      <c r="L28" s="57">
        <v>-898</v>
      </c>
      <c r="M28" s="57">
        <v>1240</v>
      </c>
      <c r="N28" s="57">
        <f>+N25-N27</f>
        <v>-4473.5161013300094</v>
      </c>
      <c r="O28" s="57">
        <f>+O25-O27</f>
        <v>-2773.4873038199435</v>
      </c>
    </row>
    <row r="29" spans="2:15">
      <c r="J29" s="9"/>
      <c r="K29" s="9"/>
      <c r="L29" s="9"/>
      <c r="M29" s="9"/>
      <c r="N29" s="9"/>
      <c r="O29" s="9"/>
    </row>
    <row r="30" spans="2:15" ht="15.6">
      <c r="I30" s="74" t="s">
        <v>84</v>
      </c>
      <c r="J30" s="57">
        <v>52313</v>
      </c>
      <c r="K30" s="57">
        <v>56939</v>
      </c>
      <c r="L30" s="57">
        <v>66308</v>
      </c>
      <c r="M30" s="57">
        <v>73306</v>
      </c>
      <c r="N30" s="57">
        <v>72014</v>
      </c>
      <c r="O30" s="57">
        <v>65721</v>
      </c>
    </row>
    <row r="31" spans="2:15" ht="15.6">
      <c r="B31" s="11" t="s">
        <v>470</v>
      </c>
      <c r="C31" s="132"/>
      <c r="D31" s="132"/>
      <c r="E31" s="132"/>
    </row>
    <row r="32" spans="2:15" ht="15.6">
      <c r="B32" s="329" t="s">
        <v>39</v>
      </c>
      <c r="C32" s="132"/>
      <c r="D32" s="132"/>
      <c r="E32" s="132"/>
    </row>
    <row r="33" spans="2:15" ht="15.6">
      <c r="B33" s="79"/>
      <c r="C33" s="132"/>
      <c r="D33" s="132"/>
      <c r="E33" s="132"/>
    </row>
    <row r="34" spans="2:15" ht="15.6" thickBot="1">
      <c r="B34" s="250"/>
      <c r="C34" s="325" t="s">
        <v>51</v>
      </c>
      <c r="D34" s="325" t="s">
        <v>52</v>
      </c>
      <c r="E34" s="325" t="s">
        <v>53</v>
      </c>
      <c r="F34" s="325" t="s">
        <v>54</v>
      </c>
      <c r="G34" s="325" t="s">
        <v>55</v>
      </c>
      <c r="I34" s="250"/>
      <c r="J34" s="325" t="s">
        <v>87</v>
      </c>
      <c r="K34" s="325" t="s">
        <v>56</v>
      </c>
      <c r="L34" s="325" t="s">
        <v>57</v>
      </c>
      <c r="M34" s="325" t="s">
        <v>1154</v>
      </c>
      <c r="N34" s="325" t="str">
        <f>+N6</f>
        <v>1T23</v>
      </c>
      <c r="O34" s="325" t="s">
        <v>1207</v>
      </c>
    </row>
    <row r="35" spans="2:15" ht="15">
      <c r="B35" s="165" t="s">
        <v>88</v>
      </c>
      <c r="C35" s="166"/>
      <c r="D35" s="166"/>
      <c r="E35" s="166"/>
      <c r="F35" s="166"/>
      <c r="G35" s="166"/>
      <c r="I35" s="165" t="s">
        <v>88</v>
      </c>
      <c r="J35" s="166"/>
      <c r="K35" s="166"/>
      <c r="L35" s="166"/>
      <c r="M35" s="166"/>
      <c r="N35" s="166"/>
      <c r="O35" s="166"/>
    </row>
    <row r="36" spans="2:15" ht="15">
      <c r="B36" s="167" t="s">
        <v>89</v>
      </c>
      <c r="C36" s="168"/>
      <c r="D36" s="168"/>
      <c r="E36" s="168"/>
      <c r="F36" s="168"/>
      <c r="G36" s="168"/>
      <c r="I36" s="167" t="s">
        <v>89</v>
      </c>
      <c r="J36" s="168"/>
      <c r="K36" s="168"/>
      <c r="L36" s="168"/>
      <c r="M36" s="168"/>
      <c r="N36" s="168"/>
      <c r="O36" s="168"/>
    </row>
    <row r="37" spans="2:15" ht="15" thickBot="1">
      <c r="B37" s="338" t="s">
        <v>90</v>
      </c>
      <c r="C37" s="266">
        <v>405090</v>
      </c>
      <c r="D37" s="266">
        <v>348438</v>
      </c>
      <c r="E37" s="266">
        <v>345062</v>
      </c>
      <c r="F37" s="266">
        <v>271759</v>
      </c>
      <c r="G37" s="266">
        <v>440330</v>
      </c>
      <c r="I37" s="338" t="s">
        <v>90</v>
      </c>
      <c r="J37" s="266">
        <v>326334</v>
      </c>
      <c r="K37" s="266">
        <v>339940</v>
      </c>
      <c r="L37" s="266">
        <v>270140</v>
      </c>
      <c r="M37" s="266">
        <v>438864</v>
      </c>
      <c r="N37" s="266">
        <v>360770.99103957997</v>
      </c>
      <c r="O37" s="266">
        <v>366920.00885607005</v>
      </c>
    </row>
    <row r="38" spans="2:15" ht="15" thickBot="1">
      <c r="B38" s="338" t="s">
        <v>471</v>
      </c>
      <c r="C38" s="266">
        <v>290440</v>
      </c>
      <c r="D38" s="266">
        <v>295114</v>
      </c>
      <c r="E38" s="266">
        <v>274935</v>
      </c>
      <c r="F38" s="266">
        <v>268788</v>
      </c>
      <c r="G38" s="266">
        <v>440672</v>
      </c>
      <c r="I38" s="338" t="s">
        <v>471</v>
      </c>
      <c r="J38" s="266">
        <v>2542</v>
      </c>
      <c r="K38" s="266">
        <v>3565</v>
      </c>
      <c r="L38" s="266">
        <v>444949</v>
      </c>
      <c r="M38" s="266">
        <v>488231</v>
      </c>
      <c r="N38" s="266">
        <v>437063.32025804999</v>
      </c>
      <c r="O38" s="266">
        <v>319461.73000427004</v>
      </c>
    </row>
    <row r="39" spans="2:15" ht="28.2" thickBot="1">
      <c r="B39" s="338" t="s">
        <v>472</v>
      </c>
      <c r="C39" s="266">
        <v>553</v>
      </c>
      <c r="D39" s="266"/>
      <c r="E39" s="266">
        <v>0</v>
      </c>
      <c r="F39" s="266"/>
      <c r="G39" s="266">
        <v>0</v>
      </c>
      <c r="I39" s="338" t="s">
        <v>472</v>
      </c>
      <c r="J39" s="266">
        <v>0</v>
      </c>
      <c r="K39" s="266">
        <v>0</v>
      </c>
      <c r="L39" s="266">
        <v>0</v>
      </c>
      <c r="M39" s="266">
        <v>0</v>
      </c>
      <c r="N39" s="266">
        <v>6055.8157308899999</v>
      </c>
      <c r="O39" s="266">
        <v>8344.3250000000007</v>
      </c>
    </row>
    <row r="40" spans="2:15" ht="15" thickBot="1">
      <c r="B40" s="338" t="s">
        <v>92</v>
      </c>
      <c r="C40" s="266">
        <v>1333</v>
      </c>
      <c r="D40" s="266">
        <v>1984</v>
      </c>
      <c r="E40" s="266">
        <v>3005</v>
      </c>
      <c r="F40" s="266">
        <v>3138</v>
      </c>
      <c r="G40" s="266">
        <v>2463</v>
      </c>
      <c r="I40" s="338" t="s">
        <v>92</v>
      </c>
      <c r="J40" s="266">
        <v>2794</v>
      </c>
      <c r="K40" s="266">
        <v>3384</v>
      </c>
      <c r="L40" s="266">
        <v>4146</v>
      </c>
      <c r="M40" s="266">
        <v>3643</v>
      </c>
      <c r="N40" s="266">
        <v>4723.0839070000002</v>
      </c>
      <c r="O40" s="266">
        <v>6120.3670000000002</v>
      </c>
    </row>
    <row r="41" spans="2:15" ht="15" thickBot="1">
      <c r="B41" s="338" t="s">
        <v>94</v>
      </c>
      <c r="C41" s="266">
        <v>9371</v>
      </c>
      <c r="D41" s="266">
        <v>7144</v>
      </c>
      <c r="E41" s="266">
        <v>5502</v>
      </c>
      <c r="F41" s="266">
        <v>3204</v>
      </c>
      <c r="G41" s="266">
        <v>5465</v>
      </c>
      <c r="I41" s="338" t="s">
        <v>94</v>
      </c>
      <c r="J41" s="266">
        <v>4899</v>
      </c>
      <c r="K41" s="266">
        <v>4032</v>
      </c>
      <c r="L41" s="266">
        <v>3837</v>
      </c>
      <c r="M41" s="266">
        <v>7311</v>
      </c>
      <c r="N41" s="266">
        <v>5874.307787929999</v>
      </c>
      <c r="O41" s="266">
        <v>4560</v>
      </c>
    </row>
    <row r="42" spans="2:15" ht="15" thickBot="1">
      <c r="B42" s="338" t="s">
        <v>95</v>
      </c>
      <c r="C42" s="266">
        <v>0</v>
      </c>
      <c r="D42" s="266">
        <v>0</v>
      </c>
      <c r="E42" s="266">
        <v>0</v>
      </c>
      <c r="F42" s="266">
        <v>0</v>
      </c>
      <c r="G42" s="266">
        <v>0</v>
      </c>
      <c r="I42" s="338" t="s">
        <v>95</v>
      </c>
      <c r="J42" s="266">
        <v>0</v>
      </c>
      <c r="K42" s="266">
        <v>0</v>
      </c>
      <c r="L42" s="266">
        <v>0</v>
      </c>
      <c r="M42" s="266">
        <v>0</v>
      </c>
      <c r="N42" s="266"/>
      <c r="O42" s="266">
        <v>0</v>
      </c>
    </row>
    <row r="43" spans="2:15" ht="15" thickBot="1">
      <c r="B43" s="330" t="s">
        <v>96</v>
      </c>
      <c r="C43" s="267">
        <f t="shared" ref="C43:D43" si="7">SUM(C37:C42)</f>
        <v>706787</v>
      </c>
      <c r="D43" s="267">
        <f t="shared" si="7"/>
        <v>652680</v>
      </c>
      <c r="E43" s="267">
        <v>628504</v>
      </c>
      <c r="F43" s="267">
        <f t="shared" ref="F43" si="8">SUM(F37:F42)</f>
        <v>546889</v>
      </c>
      <c r="G43" s="267">
        <v>888930</v>
      </c>
      <c r="I43" s="330" t="s">
        <v>96</v>
      </c>
      <c r="J43" s="267">
        <v>336569</v>
      </c>
      <c r="K43" s="267">
        <v>350921</v>
      </c>
      <c r="L43" s="267">
        <v>723072</v>
      </c>
      <c r="M43" s="267">
        <v>938049</v>
      </c>
      <c r="N43" s="267">
        <f>+N37+N38+N39+N40+N41+N42</f>
        <v>814487.51872345002</v>
      </c>
      <c r="O43" s="267">
        <f>+O37+O38+O39+O40+O41+O42</f>
        <v>705406.43086034001</v>
      </c>
    </row>
    <row r="44" spans="2:15" ht="15" thickBot="1">
      <c r="B44" s="331" t="s">
        <v>97</v>
      </c>
      <c r="C44" s="268"/>
      <c r="D44" s="268"/>
      <c r="E44" s="268"/>
      <c r="F44" s="268"/>
      <c r="G44" s="268"/>
      <c r="I44" s="331" t="s">
        <v>97</v>
      </c>
      <c r="J44" s="268"/>
      <c r="K44" s="268"/>
      <c r="L44" s="268"/>
      <c r="M44" s="268"/>
      <c r="N44" s="268"/>
      <c r="O44" s="268"/>
    </row>
    <row r="45" spans="2:15" ht="15" thickBot="1">
      <c r="B45" s="338" t="s">
        <v>98</v>
      </c>
      <c r="C45" s="266">
        <v>0</v>
      </c>
      <c r="D45" s="266">
        <v>0</v>
      </c>
      <c r="E45" s="266">
        <v>0</v>
      </c>
      <c r="F45" s="266">
        <v>0</v>
      </c>
      <c r="G45" s="266">
        <v>0</v>
      </c>
      <c r="I45" s="338" t="s">
        <v>98</v>
      </c>
      <c r="J45" s="266">
        <v>0</v>
      </c>
      <c r="K45" s="266">
        <v>0</v>
      </c>
      <c r="L45" s="266">
        <v>0</v>
      </c>
      <c r="M45" s="266">
        <v>0</v>
      </c>
      <c r="N45" s="266">
        <v>0</v>
      </c>
      <c r="O45" s="266">
        <v>0</v>
      </c>
    </row>
    <row r="46" spans="2:15" ht="15" thickBot="1">
      <c r="B46" s="338" t="s">
        <v>99</v>
      </c>
      <c r="C46" s="266">
        <v>0</v>
      </c>
      <c r="D46" s="266">
        <v>0</v>
      </c>
      <c r="E46" s="266">
        <v>0</v>
      </c>
      <c r="F46" s="266">
        <v>0</v>
      </c>
      <c r="G46" s="266">
        <v>0</v>
      </c>
      <c r="I46" s="338" t="s">
        <v>99</v>
      </c>
      <c r="J46" s="266">
        <v>0</v>
      </c>
      <c r="K46" s="266">
        <v>0</v>
      </c>
      <c r="L46" s="266">
        <v>0</v>
      </c>
      <c r="M46" s="266">
        <v>0</v>
      </c>
      <c r="N46" s="266">
        <v>0</v>
      </c>
      <c r="O46" s="266">
        <v>0</v>
      </c>
    </row>
    <row r="47" spans="2:15" ht="28.2" thickBot="1">
      <c r="B47" s="338" t="s">
        <v>150</v>
      </c>
      <c r="C47" s="266">
        <v>0</v>
      </c>
      <c r="D47" s="266">
        <v>0</v>
      </c>
      <c r="E47" s="266">
        <v>0</v>
      </c>
      <c r="F47" s="266">
        <v>0</v>
      </c>
      <c r="G47" s="266">
        <v>0</v>
      </c>
      <c r="I47" s="338" t="s">
        <v>150</v>
      </c>
      <c r="J47" s="266">
        <v>0</v>
      </c>
      <c r="K47" s="266">
        <v>0</v>
      </c>
      <c r="L47" s="266">
        <v>0</v>
      </c>
      <c r="M47" s="266">
        <v>0</v>
      </c>
      <c r="N47" s="266">
        <v>0</v>
      </c>
      <c r="O47" s="266">
        <v>0</v>
      </c>
    </row>
    <row r="48" spans="2:15" ht="15" thickBot="1">
      <c r="B48" s="338" t="s">
        <v>151</v>
      </c>
      <c r="C48" s="266">
        <v>0</v>
      </c>
      <c r="D48" s="266">
        <v>0</v>
      </c>
      <c r="E48" s="266">
        <v>0</v>
      </c>
      <c r="F48" s="266">
        <v>0</v>
      </c>
      <c r="G48" s="266">
        <v>0</v>
      </c>
      <c r="I48" s="338" t="s">
        <v>151</v>
      </c>
      <c r="J48" s="266">
        <v>0</v>
      </c>
      <c r="K48" s="266">
        <v>0</v>
      </c>
      <c r="L48" s="266">
        <v>0</v>
      </c>
      <c r="M48" s="266">
        <v>0</v>
      </c>
      <c r="N48" s="266">
        <v>0</v>
      </c>
      <c r="O48" s="266">
        <v>0</v>
      </c>
    </row>
    <row r="49" spans="2:15" ht="15" thickBot="1">
      <c r="B49" s="338" t="s">
        <v>471</v>
      </c>
      <c r="C49" s="266">
        <v>1750420</v>
      </c>
      <c r="D49" s="266">
        <v>1729497</v>
      </c>
      <c r="E49" s="266">
        <v>1821970</v>
      </c>
      <c r="F49" s="266">
        <v>1871620</v>
      </c>
      <c r="G49" s="266">
        <v>1784029</v>
      </c>
      <c r="I49" s="338" t="s">
        <v>471</v>
      </c>
      <c r="J49" s="266">
        <v>2079912</v>
      </c>
      <c r="K49" s="266">
        <v>2164020</v>
      </c>
      <c r="L49" s="266">
        <v>1849970</v>
      </c>
      <c r="M49" s="266">
        <v>1911436</v>
      </c>
      <c r="N49" s="266">
        <v>1772475.5067618196</v>
      </c>
      <c r="O49" s="266">
        <v>1883776.5276843598</v>
      </c>
    </row>
    <row r="50" spans="2:15" ht="28.2" thickBot="1">
      <c r="B50" s="338" t="s">
        <v>473</v>
      </c>
      <c r="C50" s="266">
        <v>975</v>
      </c>
      <c r="D50" s="266"/>
      <c r="E50" s="266">
        <v>0</v>
      </c>
      <c r="F50" s="266">
        <v>0</v>
      </c>
      <c r="G50" s="266">
        <v>0</v>
      </c>
      <c r="I50" s="338" t="s">
        <v>473</v>
      </c>
      <c r="J50" s="266">
        <v>0</v>
      </c>
      <c r="K50" s="266">
        <v>0</v>
      </c>
      <c r="L50" s="266">
        <v>0</v>
      </c>
      <c r="M50" s="266">
        <v>0</v>
      </c>
      <c r="N50" s="266">
        <v>0</v>
      </c>
      <c r="O50" s="266">
        <v>0</v>
      </c>
    </row>
    <row r="51" spans="2:15" ht="15" thickBot="1">
      <c r="B51" s="338" t="s">
        <v>102</v>
      </c>
      <c r="C51" s="266">
        <v>0</v>
      </c>
      <c r="D51" s="266">
        <v>0</v>
      </c>
      <c r="E51" s="266">
        <v>0</v>
      </c>
      <c r="F51" s="266">
        <v>0</v>
      </c>
      <c r="G51" s="266">
        <v>0</v>
      </c>
      <c r="I51" s="338" t="s">
        <v>102</v>
      </c>
      <c r="J51" s="266">
        <v>0</v>
      </c>
      <c r="K51" s="266">
        <v>0</v>
      </c>
      <c r="L51" s="266">
        <v>0</v>
      </c>
      <c r="M51" s="266">
        <v>0</v>
      </c>
      <c r="N51" s="266">
        <v>0</v>
      </c>
      <c r="O51" s="266">
        <v>0</v>
      </c>
    </row>
    <row r="52" spans="2:15" ht="15" thickBot="1">
      <c r="B52" s="338" t="s">
        <v>103</v>
      </c>
      <c r="C52" s="266">
        <v>2864</v>
      </c>
      <c r="D52" s="266">
        <v>2682</v>
      </c>
      <c r="E52" s="266">
        <v>7392</v>
      </c>
      <c r="F52" s="266">
        <v>7040</v>
      </c>
      <c r="G52" s="266">
        <v>6704</v>
      </c>
      <c r="I52" s="338" t="s">
        <v>103</v>
      </c>
      <c r="J52" s="266">
        <v>6295</v>
      </c>
      <c r="K52" s="266">
        <v>6758</v>
      </c>
      <c r="L52" s="266">
        <v>7326</v>
      </c>
      <c r="M52" s="266">
        <v>9752</v>
      </c>
      <c r="N52" s="266">
        <v>15261.19728937</v>
      </c>
      <c r="O52" s="266">
        <v>5911</v>
      </c>
    </row>
    <row r="53" spans="2:15" ht="15" thickBot="1">
      <c r="B53" s="338" t="s">
        <v>104</v>
      </c>
      <c r="C53" s="266">
        <v>0</v>
      </c>
      <c r="D53" s="266">
        <v>0</v>
      </c>
      <c r="E53" s="266">
        <v>0</v>
      </c>
      <c r="F53" s="266">
        <v>0</v>
      </c>
      <c r="G53" s="266">
        <v>0</v>
      </c>
      <c r="I53" s="338" t="s">
        <v>104</v>
      </c>
      <c r="J53" s="266">
        <v>0</v>
      </c>
      <c r="K53" s="266">
        <v>0</v>
      </c>
      <c r="L53" s="266">
        <v>0</v>
      </c>
      <c r="M53" s="266">
        <v>0</v>
      </c>
      <c r="N53" s="266">
        <v>0</v>
      </c>
      <c r="O53" s="266">
        <v>0</v>
      </c>
    </row>
    <row r="54" spans="2:15" ht="15" thickBot="1">
      <c r="B54" s="338" t="s">
        <v>106</v>
      </c>
      <c r="C54" s="266">
        <v>128</v>
      </c>
      <c r="D54" s="266">
        <v>109</v>
      </c>
      <c r="E54" s="266">
        <v>90</v>
      </c>
      <c r="F54" s="266">
        <v>140</v>
      </c>
      <c r="G54" s="266">
        <v>648</v>
      </c>
      <c r="I54" s="338" t="s">
        <v>106</v>
      </c>
      <c r="J54" s="266">
        <v>847</v>
      </c>
      <c r="K54" s="266">
        <v>660</v>
      </c>
      <c r="L54" s="266">
        <v>606</v>
      </c>
      <c r="M54" s="266">
        <v>487</v>
      </c>
      <c r="N54" s="266">
        <v>842.32981782999991</v>
      </c>
      <c r="O54" s="266">
        <v>271</v>
      </c>
    </row>
    <row r="55" spans="2:15" ht="15" thickBot="1">
      <c r="B55" s="338" t="s">
        <v>94</v>
      </c>
      <c r="C55" s="266">
        <v>1164</v>
      </c>
      <c r="D55" s="266">
        <v>0</v>
      </c>
      <c r="E55" s="266">
        <v>0</v>
      </c>
      <c r="F55" s="266">
        <v>0</v>
      </c>
      <c r="G55" s="266">
        <v>0</v>
      </c>
      <c r="I55" s="338" t="s">
        <v>94</v>
      </c>
      <c r="J55" s="266">
        <v>0</v>
      </c>
      <c r="K55" s="266">
        <v>0</v>
      </c>
      <c r="L55" s="266">
        <v>0</v>
      </c>
      <c r="M55" s="266">
        <v>0</v>
      </c>
      <c r="N55" s="266">
        <v>0</v>
      </c>
      <c r="O55" s="266">
        <v>0</v>
      </c>
    </row>
    <row r="56" spans="2:15" ht="15" thickBot="1">
      <c r="B56" s="338" t="s">
        <v>107</v>
      </c>
      <c r="C56" s="266">
        <v>655681</v>
      </c>
      <c r="D56" s="266">
        <v>678524</v>
      </c>
      <c r="E56" s="266">
        <v>694741</v>
      </c>
      <c r="F56" s="266">
        <v>834605</v>
      </c>
      <c r="G56" s="266">
        <v>0</v>
      </c>
      <c r="I56" s="338" t="s">
        <v>107</v>
      </c>
      <c r="J56" s="266">
        <v>0</v>
      </c>
      <c r="K56" s="266">
        <v>0</v>
      </c>
      <c r="L56" s="266">
        <v>0</v>
      </c>
      <c r="M56" s="266">
        <v>0</v>
      </c>
      <c r="N56" s="266">
        <v>0</v>
      </c>
      <c r="O56" s="266">
        <v>0</v>
      </c>
    </row>
    <row r="57" spans="2:15" ht="15" thickBot="1">
      <c r="B57" s="338" t="s">
        <v>108</v>
      </c>
      <c r="C57" s="266">
        <v>2470</v>
      </c>
      <c r="D57" s="266">
        <v>4815</v>
      </c>
      <c r="E57" s="266">
        <v>0</v>
      </c>
      <c r="F57" s="266">
        <v>0</v>
      </c>
      <c r="G57" s="266">
        <v>0</v>
      </c>
      <c r="I57" s="338" t="s">
        <v>108</v>
      </c>
      <c r="J57" s="266">
        <v>0</v>
      </c>
      <c r="K57" s="266">
        <v>0</v>
      </c>
      <c r="L57" s="266">
        <v>0</v>
      </c>
      <c r="M57" s="266">
        <v>0</v>
      </c>
      <c r="N57" s="266">
        <v>0</v>
      </c>
      <c r="O57" s="266">
        <v>6609</v>
      </c>
    </row>
    <row r="58" spans="2:15" ht="15" thickBot="1">
      <c r="B58" s="338" t="s">
        <v>95</v>
      </c>
      <c r="C58" s="266">
        <v>0</v>
      </c>
      <c r="D58" s="266">
        <v>0</v>
      </c>
      <c r="E58" s="266">
        <v>0</v>
      </c>
      <c r="F58" s="266">
        <v>0</v>
      </c>
      <c r="G58" s="266">
        <v>0</v>
      </c>
      <c r="I58" s="338" t="s">
        <v>95</v>
      </c>
      <c r="J58" s="266">
        <v>0</v>
      </c>
      <c r="K58" s="266">
        <v>0</v>
      </c>
      <c r="L58" s="266">
        <v>0</v>
      </c>
      <c r="M58" s="266">
        <v>0</v>
      </c>
      <c r="N58" s="266">
        <v>0</v>
      </c>
      <c r="O58" s="266">
        <v>0</v>
      </c>
    </row>
    <row r="59" spans="2:15" ht="15" thickBot="1">
      <c r="B59" s="331" t="s">
        <v>110</v>
      </c>
      <c r="C59" s="269">
        <f t="shared" ref="C59:D59" si="9">SUM(C45:C58)</f>
        <v>2413702</v>
      </c>
      <c r="D59" s="269">
        <f t="shared" si="9"/>
        <v>2415627</v>
      </c>
      <c r="E59" s="269">
        <v>2524193</v>
      </c>
      <c r="F59" s="269">
        <f t="shared" ref="F59" si="10">SUM(F45:F58)</f>
        <v>2713405</v>
      </c>
      <c r="G59" s="269">
        <v>1791381</v>
      </c>
      <c r="I59" s="331" t="s">
        <v>110</v>
      </c>
      <c r="J59" s="269">
        <v>2087054</v>
      </c>
      <c r="K59" s="269">
        <v>2171438</v>
      </c>
      <c r="L59" s="269">
        <v>1857902</v>
      </c>
      <c r="M59" s="269">
        <v>1921675</v>
      </c>
      <c r="N59" s="269">
        <f>+N58+N57+N56+N55+N54+N53+N52+N51+N50+N49+N48</f>
        <v>1788579.0338690195</v>
      </c>
      <c r="O59" s="269">
        <f>+O58+O57+O56+O55+O54+O53+O52+O51+O50+O49+O48</f>
        <v>1896567.5276843598</v>
      </c>
    </row>
    <row r="60" spans="2:15" ht="15" thickBot="1">
      <c r="B60" s="332" t="s">
        <v>111</v>
      </c>
      <c r="C60" s="270">
        <f t="shared" ref="C60:D60" si="11">+C43+C59</f>
        <v>3120489</v>
      </c>
      <c r="D60" s="270">
        <f t="shared" si="11"/>
        <v>3068307</v>
      </c>
      <c r="E60" s="270">
        <v>3152697</v>
      </c>
      <c r="F60" s="270">
        <f t="shared" ref="F60" si="12">+F43+F59</f>
        <v>3260294</v>
      </c>
      <c r="G60" s="270">
        <v>2680311</v>
      </c>
      <c r="I60" s="332" t="s">
        <v>111</v>
      </c>
      <c r="J60" s="270">
        <v>2423623</v>
      </c>
      <c r="K60" s="270">
        <v>2522359</v>
      </c>
      <c r="L60" s="270">
        <v>2580974</v>
      </c>
      <c r="M60" s="270">
        <v>2859724</v>
      </c>
      <c r="N60" s="270">
        <f>+N59+N43</f>
        <v>2603066.5525924694</v>
      </c>
      <c r="O60" s="270">
        <f>+O59+O43</f>
        <v>2601973.9585446999</v>
      </c>
    </row>
    <row r="61" spans="2:15" ht="15" thickBot="1">
      <c r="B61" s="333"/>
      <c r="C61" s="274"/>
      <c r="D61" s="274"/>
      <c r="E61" s="274">
        <v>0</v>
      </c>
      <c r="F61" s="274"/>
      <c r="G61" s="274">
        <v>0</v>
      </c>
      <c r="I61" s="333"/>
      <c r="J61" s="274">
        <v>0</v>
      </c>
      <c r="K61" s="274">
        <v>0</v>
      </c>
      <c r="L61" s="274">
        <v>0</v>
      </c>
      <c r="M61" s="274"/>
      <c r="N61" s="274"/>
      <c r="O61" s="274"/>
    </row>
    <row r="62" spans="2:15" ht="15" thickBot="1">
      <c r="B62" s="334" t="s">
        <v>112</v>
      </c>
      <c r="C62" s="271"/>
      <c r="D62" s="271"/>
      <c r="E62" s="271"/>
      <c r="F62" s="271"/>
      <c r="G62" s="271"/>
      <c r="I62" s="334" t="s">
        <v>112</v>
      </c>
      <c r="J62" s="271"/>
      <c r="K62" s="271"/>
      <c r="L62" s="271"/>
      <c r="M62" s="271"/>
      <c r="N62" s="271"/>
      <c r="O62" s="271"/>
    </row>
    <row r="63" spans="2:15" ht="15" thickBot="1">
      <c r="B63" s="331" t="s">
        <v>113</v>
      </c>
      <c r="C63" s="272"/>
      <c r="D63" s="272"/>
      <c r="E63" s="272"/>
      <c r="F63" s="272"/>
      <c r="G63" s="272"/>
      <c r="I63" s="331" t="s">
        <v>113</v>
      </c>
      <c r="J63" s="272"/>
      <c r="K63" s="272"/>
      <c r="L63" s="272"/>
      <c r="M63" s="272"/>
      <c r="N63" s="272"/>
      <c r="O63" s="272"/>
    </row>
    <row r="64" spans="2:15" ht="15" thickBot="1">
      <c r="B64" s="338" t="s">
        <v>474</v>
      </c>
      <c r="C64" s="266">
        <v>27587</v>
      </c>
      <c r="D64" s="266">
        <v>79408</v>
      </c>
      <c r="E64" s="266">
        <v>108671</v>
      </c>
      <c r="F64" s="266">
        <v>72275</v>
      </c>
      <c r="G64" s="266">
        <v>112871</v>
      </c>
      <c r="I64" s="338" t="s">
        <v>474</v>
      </c>
      <c r="J64" s="266">
        <v>78810</v>
      </c>
      <c r="K64" s="266">
        <v>110356</v>
      </c>
      <c r="L64" s="266">
        <v>97474</v>
      </c>
      <c r="M64" s="266">
        <v>128950</v>
      </c>
      <c r="N64" s="266">
        <v>71745.928323510016</v>
      </c>
      <c r="O64" s="266">
        <v>98352.197458499999</v>
      </c>
    </row>
    <row r="65" spans="2:15" ht="15" thickBot="1">
      <c r="B65" s="338" t="s">
        <v>475</v>
      </c>
      <c r="C65" s="266">
        <v>36441</v>
      </c>
      <c r="D65" s="266">
        <v>0</v>
      </c>
      <c r="E65" s="266">
        <v>0</v>
      </c>
      <c r="F65" s="266">
        <v>0</v>
      </c>
      <c r="G65" s="266">
        <v>0</v>
      </c>
      <c r="I65" s="338" t="s">
        <v>475</v>
      </c>
      <c r="J65" s="266">
        <v>0</v>
      </c>
      <c r="K65" s="266">
        <v>0</v>
      </c>
      <c r="L65" s="266">
        <v>0</v>
      </c>
      <c r="M65" s="266">
        <v>0</v>
      </c>
      <c r="N65" s="266">
        <v>0</v>
      </c>
      <c r="O65" s="266">
        <v>0</v>
      </c>
    </row>
    <row r="66" spans="2:15" ht="15" thickBot="1">
      <c r="B66" s="338" t="s">
        <v>115</v>
      </c>
      <c r="C66" s="266">
        <v>10445</v>
      </c>
      <c r="D66" s="266">
        <v>14324</v>
      </c>
      <c r="E66" s="266">
        <v>22274</v>
      </c>
      <c r="F66" s="266">
        <v>13502</v>
      </c>
      <c r="G66" s="266">
        <v>52867</v>
      </c>
      <c r="I66" s="338" t="s">
        <v>115</v>
      </c>
      <c r="J66" s="266">
        <v>44969</v>
      </c>
      <c r="K66" s="266">
        <v>41952</v>
      </c>
      <c r="L66" s="266">
        <v>41350</v>
      </c>
      <c r="M66" s="266">
        <v>45517</v>
      </c>
      <c r="N66" s="266">
        <v>15308</v>
      </c>
      <c r="O66" s="266">
        <f>10853.178+437.607</f>
        <v>11290.785</v>
      </c>
    </row>
    <row r="67" spans="2:15" ht="15" thickBot="1">
      <c r="B67" s="338" t="s">
        <v>117</v>
      </c>
      <c r="C67" s="266">
        <v>1153</v>
      </c>
      <c r="D67" s="266">
        <v>581</v>
      </c>
      <c r="E67" s="266">
        <v>624</v>
      </c>
      <c r="F67" s="266">
        <v>861</v>
      </c>
      <c r="G67" s="266">
        <v>1388</v>
      </c>
      <c r="I67" s="338" t="s">
        <v>117</v>
      </c>
      <c r="J67" s="266">
        <v>652</v>
      </c>
      <c r="K67" s="266">
        <v>627</v>
      </c>
      <c r="L67" s="266">
        <v>958</v>
      </c>
      <c r="M67" s="266">
        <v>1021</v>
      </c>
      <c r="N67" s="266">
        <v>905</v>
      </c>
      <c r="O67" s="266">
        <v>1288.856</v>
      </c>
    </row>
    <row r="68" spans="2:15" ht="15" thickBot="1">
      <c r="B68" s="338" t="s">
        <v>92</v>
      </c>
      <c r="C68" s="266">
        <v>483</v>
      </c>
      <c r="D68" s="266">
        <v>4069</v>
      </c>
      <c r="E68" s="266">
        <v>4010</v>
      </c>
      <c r="F68" s="266">
        <v>3866</v>
      </c>
      <c r="G68" s="266">
        <v>707</v>
      </c>
      <c r="I68" s="338" t="s">
        <v>92</v>
      </c>
      <c r="J68" s="266">
        <v>512</v>
      </c>
      <c r="K68" s="266">
        <v>1249</v>
      </c>
      <c r="L68" s="266">
        <v>1781</v>
      </c>
      <c r="M68" s="266">
        <v>1546</v>
      </c>
      <c r="N68" s="266">
        <v>1908.2477918200002</v>
      </c>
      <c r="O68" s="266">
        <v>1627.4233001000002</v>
      </c>
    </row>
    <row r="69" spans="2:15" ht="15" thickBot="1">
      <c r="B69" s="338" t="s">
        <v>118</v>
      </c>
      <c r="C69" s="266">
        <v>0</v>
      </c>
      <c r="D69" s="266">
        <v>23484</v>
      </c>
      <c r="E69" s="266">
        <v>33290</v>
      </c>
      <c r="F69" s="266">
        <v>31779</v>
      </c>
      <c r="G69" s="266">
        <v>0</v>
      </c>
      <c r="I69" s="338" t="s">
        <v>118</v>
      </c>
      <c r="J69" s="266">
        <v>0</v>
      </c>
      <c r="K69" s="266">
        <v>0</v>
      </c>
      <c r="L69" s="266">
        <v>0</v>
      </c>
      <c r="M69" s="266">
        <v>0</v>
      </c>
      <c r="N69" s="266">
        <v>0</v>
      </c>
      <c r="O69" s="266">
        <v>4856.5495380600005</v>
      </c>
    </row>
    <row r="70" spans="2:15" ht="15" thickBot="1">
      <c r="B70" s="338" t="s">
        <v>119</v>
      </c>
      <c r="C70" s="266">
        <v>4567</v>
      </c>
      <c r="D70" s="266">
        <v>76195</v>
      </c>
      <c r="E70" s="266">
        <v>63308</v>
      </c>
      <c r="F70" s="266">
        <v>47880</v>
      </c>
      <c r="G70" s="266">
        <v>222483</v>
      </c>
      <c r="I70" s="338" t="s">
        <v>119</v>
      </c>
      <c r="J70" s="266">
        <v>57772</v>
      </c>
      <c r="K70" s="266">
        <v>46569</v>
      </c>
      <c r="L70" s="266">
        <v>52747</v>
      </c>
      <c r="M70" s="266">
        <v>219015</v>
      </c>
      <c r="N70" s="266">
        <v>92498</v>
      </c>
      <c r="O70" s="266">
        <v>84153</v>
      </c>
    </row>
    <row r="71" spans="2:15" ht="15" thickBot="1">
      <c r="B71" s="338" t="s">
        <v>152</v>
      </c>
      <c r="C71" s="277">
        <v>0</v>
      </c>
      <c r="D71" s="277">
        <v>0</v>
      </c>
      <c r="E71" s="277">
        <v>0</v>
      </c>
      <c r="F71" s="277">
        <v>0</v>
      </c>
      <c r="G71" s="277">
        <v>0</v>
      </c>
      <c r="I71" s="338" t="s">
        <v>152</v>
      </c>
      <c r="J71" s="277">
        <v>0</v>
      </c>
      <c r="K71" s="277">
        <v>0</v>
      </c>
      <c r="L71" s="277">
        <v>0</v>
      </c>
      <c r="M71" s="277">
        <v>0</v>
      </c>
      <c r="N71" s="277"/>
      <c r="O71" s="277"/>
    </row>
    <row r="72" spans="2:15" ht="15" thickBot="1">
      <c r="B72" s="331" t="s">
        <v>121</v>
      </c>
      <c r="C72" s="269">
        <f t="shared" ref="C72:D72" si="13">SUM(C64:C71)</f>
        <v>80676</v>
      </c>
      <c r="D72" s="269">
        <f t="shared" si="13"/>
        <v>198061</v>
      </c>
      <c r="E72" s="269">
        <v>232177</v>
      </c>
      <c r="F72" s="269">
        <f t="shared" ref="F72" si="14">SUM(F64:F71)</f>
        <v>170163</v>
      </c>
      <c r="G72" s="269">
        <v>390316</v>
      </c>
      <c r="I72" s="331" t="s">
        <v>121</v>
      </c>
      <c r="J72" s="269">
        <v>182715</v>
      </c>
      <c r="K72" s="269">
        <v>200753</v>
      </c>
      <c r="L72" s="269">
        <v>194310</v>
      </c>
      <c r="M72" s="269">
        <v>396049</v>
      </c>
      <c r="N72" s="269">
        <f>SUM(N64:N71)</f>
        <v>182365.17611533002</v>
      </c>
      <c r="O72" s="269">
        <f>SUM(O64:O71)</f>
        <v>201568.81129665999</v>
      </c>
    </row>
    <row r="73" spans="2:15" ht="15" thickBot="1">
      <c r="B73" s="335" t="s">
        <v>122</v>
      </c>
      <c r="C73" s="273"/>
      <c r="D73" s="273"/>
      <c r="E73" s="273"/>
      <c r="F73" s="273"/>
      <c r="G73" s="273"/>
      <c r="I73" s="335" t="s">
        <v>122</v>
      </c>
      <c r="J73" s="273"/>
      <c r="K73" s="273"/>
      <c r="L73" s="273"/>
      <c r="M73" s="273"/>
      <c r="N73" s="273"/>
      <c r="O73" s="273"/>
    </row>
    <row r="74" spans="2:15" ht="15" thickBot="1">
      <c r="B74" s="338" t="s">
        <v>474</v>
      </c>
      <c r="C74" s="266">
        <v>754044</v>
      </c>
      <c r="D74" s="266">
        <v>1421574</v>
      </c>
      <c r="E74" s="266">
        <v>1443605</v>
      </c>
      <c r="F74" s="266">
        <v>1469416</v>
      </c>
      <c r="G74" s="266">
        <v>1490307</v>
      </c>
      <c r="I74" s="338" t="s">
        <v>474</v>
      </c>
      <c r="J74" s="266">
        <v>1433797</v>
      </c>
      <c r="K74" s="266">
        <v>1521713</v>
      </c>
      <c r="L74" s="266">
        <v>1573491</v>
      </c>
      <c r="M74" s="266">
        <v>1636275</v>
      </c>
      <c r="N74" s="266">
        <v>1563439.7901526599</v>
      </c>
      <c r="O74" s="266">
        <v>1541959.1864851101</v>
      </c>
    </row>
    <row r="75" spans="2:15" ht="15" thickBot="1">
      <c r="B75" s="338" t="s">
        <v>475</v>
      </c>
      <c r="C75" s="266">
        <v>678738</v>
      </c>
      <c r="D75" s="266">
        <v>0</v>
      </c>
      <c r="E75" s="266">
        <v>0</v>
      </c>
      <c r="F75" s="266">
        <v>0</v>
      </c>
      <c r="G75" s="266">
        <v>0</v>
      </c>
      <c r="I75" s="338" t="s">
        <v>475</v>
      </c>
      <c r="J75" s="266">
        <v>0</v>
      </c>
      <c r="K75" s="266">
        <v>0</v>
      </c>
      <c r="L75" s="266">
        <v>0</v>
      </c>
      <c r="M75" s="266">
        <v>0</v>
      </c>
      <c r="N75" s="266">
        <v>0</v>
      </c>
      <c r="O75" s="266">
        <v>0</v>
      </c>
    </row>
    <row r="76" spans="2:15" ht="15" thickBot="1">
      <c r="B76" s="338" t="s">
        <v>476</v>
      </c>
      <c r="C76" s="266">
        <v>0</v>
      </c>
      <c r="D76" s="266">
        <v>4288</v>
      </c>
      <c r="E76" s="266">
        <v>3931</v>
      </c>
      <c r="F76" s="266">
        <v>3731</v>
      </c>
      <c r="G76" s="266">
        <v>3502</v>
      </c>
      <c r="I76" s="338" t="s">
        <v>476</v>
      </c>
      <c r="J76" s="266">
        <v>0</v>
      </c>
      <c r="K76" s="266">
        <v>0</v>
      </c>
      <c r="L76" s="266">
        <v>0</v>
      </c>
      <c r="M76" s="266">
        <v>0</v>
      </c>
      <c r="N76" s="266">
        <v>0</v>
      </c>
      <c r="O76" s="266">
        <v>0</v>
      </c>
    </row>
    <row r="77" spans="2:15" ht="15" thickBot="1">
      <c r="B77" s="338" t="s">
        <v>123</v>
      </c>
      <c r="C77" s="266">
        <v>479845</v>
      </c>
      <c r="D77" s="266">
        <v>485152</v>
      </c>
      <c r="E77" s="266">
        <v>490748</v>
      </c>
      <c r="F77" s="266">
        <v>496417</v>
      </c>
      <c r="G77" s="266">
        <v>502457</v>
      </c>
      <c r="I77" s="338" t="s">
        <v>123</v>
      </c>
      <c r="J77" s="266">
        <v>511560</v>
      </c>
      <c r="K77" s="266">
        <v>516938</v>
      </c>
      <c r="L77" s="266">
        <v>521948</v>
      </c>
      <c r="M77" s="266">
        <v>527860</v>
      </c>
      <c r="N77" s="266">
        <v>531284.94709885994</v>
      </c>
      <c r="O77" s="266">
        <v>537490.78735432005</v>
      </c>
    </row>
    <row r="78" spans="2:15" ht="15" thickBot="1">
      <c r="B78" s="338" t="s">
        <v>117</v>
      </c>
      <c r="C78" s="266">
        <v>0</v>
      </c>
      <c r="D78" s="266">
        <v>0</v>
      </c>
      <c r="E78" s="266">
        <v>0</v>
      </c>
      <c r="F78" s="266">
        <v>0</v>
      </c>
      <c r="G78" s="266">
        <v>0</v>
      </c>
      <c r="I78" s="338" t="s">
        <v>117</v>
      </c>
      <c r="J78" s="266">
        <v>0</v>
      </c>
      <c r="K78" s="266">
        <v>0</v>
      </c>
      <c r="L78" s="266">
        <v>0</v>
      </c>
      <c r="M78" s="266">
        <v>0</v>
      </c>
      <c r="N78" s="266">
        <v>0</v>
      </c>
      <c r="O78" s="266"/>
    </row>
    <row r="79" spans="2:15" ht="15" thickBot="1">
      <c r="B79" s="338" t="s">
        <v>118</v>
      </c>
      <c r="C79" s="266">
        <v>2711</v>
      </c>
      <c r="D79" s="266">
        <v>0</v>
      </c>
      <c r="E79" s="266">
        <v>0</v>
      </c>
      <c r="F79" s="266">
        <v>0</v>
      </c>
      <c r="G79" s="266">
        <v>2711</v>
      </c>
      <c r="I79" s="338" t="s">
        <v>118</v>
      </c>
      <c r="J79" s="266">
        <v>2692</v>
      </c>
      <c r="K79" s="266">
        <v>3432</v>
      </c>
      <c r="L79" s="266">
        <v>3477</v>
      </c>
      <c r="M79" s="266">
        <v>3571</v>
      </c>
      <c r="N79" s="266">
        <v>3770.3553779600002</v>
      </c>
      <c r="O79" s="266">
        <v>0</v>
      </c>
    </row>
    <row r="80" spans="2:15" ht="15" thickBot="1">
      <c r="B80" s="338" t="s">
        <v>119</v>
      </c>
      <c r="C80" s="266">
        <v>203934</v>
      </c>
      <c r="D80" s="266">
        <v>0</v>
      </c>
      <c r="E80" s="266">
        <v>0</v>
      </c>
      <c r="F80" s="266">
        <v>0</v>
      </c>
      <c r="G80" s="266">
        <v>0</v>
      </c>
      <c r="I80" s="338" t="s">
        <v>119</v>
      </c>
      <c r="J80" s="266">
        <v>16261</v>
      </c>
      <c r="K80" s="266">
        <v>12998</v>
      </c>
      <c r="L80" s="266">
        <v>20763</v>
      </c>
      <c r="M80" s="266">
        <v>23572</v>
      </c>
      <c r="N80" s="266">
        <v>57919.109637839996</v>
      </c>
      <c r="O80" s="266">
        <v>59441.658000000003</v>
      </c>
    </row>
    <row r="81" spans="2:15" ht="15" thickBot="1">
      <c r="B81" s="338" t="s">
        <v>153</v>
      </c>
      <c r="C81" s="266">
        <v>713869</v>
      </c>
      <c r="D81" s="266">
        <v>740955</v>
      </c>
      <c r="E81" s="266">
        <v>750082</v>
      </c>
      <c r="F81" s="503">
        <f>896196+1</f>
        <v>896197</v>
      </c>
      <c r="G81" s="503">
        <v>101732</v>
      </c>
      <c r="I81" s="338" t="s">
        <v>153</v>
      </c>
      <c r="J81" s="503">
        <v>100646</v>
      </c>
      <c r="K81" s="503">
        <v>88987</v>
      </c>
      <c r="L81" s="503">
        <v>90343</v>
      </c>
      <c r="M81" s="503">
        <v>94514</v>
      </c>
      <c r="N81" s="503">
        <v>90878.611564459832</v>
      </c>
      <c r="O81" s="503">
        <v>90878.464872160039</v>
      </c>
    </row>
    <row r="82" spans="2:15" ht="15" thickBot="1">
      <c r="B82" s="331" t="s">
        <v>124</v>
      </c>
      <c r="C82" s="269">
        <f t="shared" ref="C82:D82" si="15">SUM(C74:C81)</f>
        <v>2833141</v>
      </c>
      <c r="D82" s="269">
        <f t="shared" si="15"/>
        <v>2651969</v>
      </c>
      <c r="E82" s="269">
        <v>2688366</v>
      </c>
      <c r="F82" s="269">
        <f t="shared" ref="F82" si="16">SUM(F74:F81)</f>
        <v>2865761</v>
      </c>
      <c r="G82" s="269">
        <v>2100709</v>
      </c>
      <c r="I82" s="331" t="s">
        <v>124</v>
      </c>
      <c r="J82" s="269">
        <v>2064956</v>
      </c>
      <c r="K82" s="269">
        <v>2144068</v>
      </c>
      <c r="L82" s="269">
        <v>2210022</v>
      </c>
      <c r="M82" s="269">
        <v>2285792</v>
      </c>
      <c r="N82" s="269">
        <f>SUM(N74:N81)</f>
        <v>2247292.8138317796</v>
      </c>
      <c r="O82" s="269">
        <f>SUM(O74:O81)</f>
        <v>2229770.09671159</v>
      </c>
    </row>
    <row r="83" spans="2:15" ht="15" thickBot="1">
      <c r="B83" s="332" t="s">
        <v>125</v>
      </c>
      <c r="C83" s="270">
        <f t="shared" ref="C83:D83" si="17">+C72+C82</f>
        <v>2913817</v>
      </c>
      <c r="D83" s="270">
        <f t="shared" si="17"/>
        <v>2850030</v>
      </c>
      <c r="E83" s="270">
        <v>2920543</v>
      </c>
      <c r="F83" s="270">
        <f t="shared" ref="F83" si="18">+F72+F82</f>
        <v>3035924</v>
      </c>
      <c r="G83" s="270">
        <v>2491025</v>
      </c>
      <c r="I83" s="332" t="s">
        <v>125</v>
      </c>
      <c r="J83" s="270">
        <v>2247671</v>
      </c>
      <c r="K83" s="270">
        <v>2344821</v>
      </c>
      <c r="L83" s="270">
        <v>2404332</v>
      </c>
      <c r="M83" s="270">
        <v>2681841</v>
      </c>
      <c r="N83" s="270">
        <f>+N82+N72</f>
        <v>2429657.9899471095</v>
      </c>
      <c r="O83" s="270">
        <f>+O82+O72</f>
        <v>2431338.9080082499</v>
      </c>
    </row>
    <row r="84" spans="2:15" ht="15" thickBot="1">
      <c r="B84" s="333"/>
      <c r="C84" s="274"/>
      <c r="D84" s="274"/>
      <c r="E84" s="274">
        <v>0</v>
      </c>
      <c r="F84" s="274"/>
      <c r="G84" s="274">
        <v>0</v>
      </c>
      <c r="I84" s="333"/>
      <c r="J84" s="274">
        <v>0</v>
      </c>
      <c r="K84" s="274">
        <v>0</v>
      </c>
      <c r="L84" s="274">
        <v>0</v>
      </c>
      <c r="M84" s="274"/>
      <c r="N84" s="274"/>
      <c r="O84" s="274"/>
    </row>
    <row r="85" spans="2:15" ht="15" thickBot="1">
      <c r="B85" s="336" t="s">
        <v>126</v>
      </c>
      <c r="C85" s="273"/>
      <c r="D85" s="273"/>
      <c r="E85" s="273"/>
      <c r="F85" s="273"/>
      <c r="G85" s="273"/>
      <c r="I85" s="336" t="s">
        <v>126</v>
      </c>
      <c r="J85" s="273"/>
      <c r="K85" s="273"/>
      <c r="L85" s="273"/>
      <c r="M85" s="273"/>
      <c r="N85" s="273"/>
      <c r="O85" s="273"/>
    </row>
    <row r="86" spans="2:15" ht="15" thickBot="1">
      <c r="B86" s="338" t="s">
        <v>127</v>
      </c>
      <c r="C86" s="266">
        <v>84</v>
      </c>
      <c r="D86" s="266">
        <v>84</v>
      </c>
      <c r="E86" s="266">
        <v>84</v>
      </c>
      <c r="F86" s="266">
        <v>84</v>
      </c>
      <c r="G86" s="266">
        <v>84</v>
      </c>
      <c r="I86" s="338" t="s">
        <v>127</v>
      </c>
      <c r="J86" s="266">
        <v>84</v>
      </c>
      <c r="K86" s="266">
        <v>84</v>
      </c>
      <c r="L86" s="266">
        <v>84</v>
      </c>
      <c r="M86" s="266">
        <v>84</v>
      </c>
      <c r="N86" s="266">
        <v>84</v>
      </c>
      <c r="O86" s="266">
        <v>84</v>
      </c>
    </row>
    <row r="87" spans="2:15" ht="15" thickBot="1">
      <c r="B87" s="338" t="s">
        <v>128</v>
      </c>
      <c r="C87" s="266">
        <v>0</v>
      </c>
      <c r="D87" s="266">
        <v>0</v>
      </c>
      <c r="E87" s="266">
        <v>0</v>
      </c>
      <c r="F87" s="266">
        <v>0</v>
      </c>
      <c r="G87" s="266">
        <v>0</v>
      </c>
      <c r="I87" s="338" t="s">
        <v>128</v>
      </c>
      <c r="J87" s="266">
        <v>0</v>
      </c>
      <c r="K87" s="266">
        <v>0</v>
      </c>
      <c r="L87" s="266">
        <v>0</v>
      </c>
      <c r="M87" s="266">
        <v>0</v>
      </c>
      <c r="N87" s="266">
        <v>0</v>
      </c>
      <c r="O87" s="266">
        <v>0</v>
      </c>
    </row>
    <row r="88" spans="2:15" ht="15" thickBot="1">
      <c r="B88" s="338" t="s">
        <v>129</v>
      </c>
      <c r="C88" s="266">
        <v>0</v>
      </c>
      <c r="D88" s="266">
        <v>0</v>
      </c>
      <c r="E88" s="266">
        <v>0</v>
      </c>
      <c r="F88" s="266">
        <v>0</v>
      </c>
      <c r="G88" s="266">
        <v>0</v>
      </c>
      <c r="I88" s="338" t="s">
        <v>129</v>
      </c>
      <c r="J88" s="266">
        <v>0</v>
      </c>
      <c r="K88" s="266">
        <v>0</v>
      </c>
      <c r="L88" s="266">
        <v>0</v>
      </c>
      <c r="M88" s="266">
        <v>0</v>
      </c>
      <c r="N88" s="266">
        <v>0</v>
      </c>
      <c r="O88" s="266">
        <v>0</v>
      </c>
    </row>
    <row r="89" spans="2:15" ht="15" thickBot="1">
      <c r="B89" s="338" t="s">
        <v>130</v>
      </c>
      <c r="C89" s="266">
        <v>211498</v>
      </c>
      <c r="D89" s="266">
        <v>206587</v>
      </c>
      <c r="E89" s="266">
        <v>206587</v>
      </c>
      <c r="F89" s="266">
        <v>206587</v>
      </c>
      <c r="G89" s="266">
        <v>206587</v>
      </c>
      <c r="I89" s="338" t="s">
        <v>130</v>
      </c>
      <c r="J89" s="266">
        <v>189203</v>
      </c>
      <c r="K89" s="266">
        <v>189203</v>
      </c>
      <c r="L89" s="266">
        <v>189203</v>
      </c>
      <c r="M89" s="266">
        <v>189203</v>
      </c>
      <c r="N89" s="266">
        <v>177798.16437834001</v>
      </c>
      <c r="O89" s="266">
        <v>177798.16437834001</v>
      </c>
    </row>
    <row r="90" spans="2:15" ht="15" thickBot="1">
      <c r="B90" s="338" t="s">
        <v>131</v>
      </c>
      <c r="C90" s="266">
        <v>-4910</v>
      </c>
      <c r="D90" s="266">
        <v>11606</v>
      </c>
      <c r="E90" s="266">
        <v>25483</v>
      </c>
      <c r="F90" s="266">
        <v>17699</v>
      </c>
      <c r="G90" s="266">
        <v>-17385</v>
      </c>
      <c r="I90" s="338" t="s">
        <v>131</v>
      </c>
      <c r="J90" s="266">
        <v>-13335</v>
      </c>
      <c r="K90" s="266">
        <v>-11746</v>
      </c>
      <c r="L90" s="266">
        <v>-12644</v>
      </c>
      <c r="M90" s="266">
        <v>-11404</v>
      </c>
      <c r="N90" s="266">
        <v>-4473.5652937300301</v>
      </c>
      <c r="O90" s="266">
        <v>-7246.847925420001</v>
      </c>
    </row>
    <row r="91" spans="2:15" ht="15" thickBot="1">
      <c r="B91" s="338" t="s">
        <v>132</v>
      </c>
      <c r="C91" s="266">
        <v>0</v>
      </c>
      <c r="D91" s="266">
        <v>0</v>
      </c>
      <c r="E91" s="266">
        <v>0</v>
      </c>
      <c r="F91" s="266">
        <v>0</v>
      </c>
      <c r="G91" s="266">
        <v>0</v>
      </c>
      <c r="I91" s="338" t="s">
        <v>132</v>
      </c>
      <c r="J91" s="266">
        <v>0</v>
      </c>
      <c r="K91" s="266">
        <v>0</v>
      </c>
      <c r="L91" s="266">
        <v>0</v>
      </c>
      <c r="M91" s="266">
        <v>0</v>
      </c>
      <c r="N91" s="266"/>
      <c r="O91" s="266"/>
    </row>
    <row r="92" spans="2:15" ht="15" thickBot="1">
      <c r="B92" s="331" t="s">
        <v>135</v>
      </c>
      <c r="C92" s="269">
        <f t="shared" ref="C92:D92" si="19">SUM(C86:C91)</f>
        <v>206672</v>
      </c>
      <c r="D92" s="269">
        <f t="shared" si="19"/>
        <v>218277</v>
      </c>
      <c r="E92" s="269">
        <v>232154</v>
      </c>
      <c r="F92" s="269">
        <f t="shared" ref="F92" si="20">SUM(F86:F91)</f>
        <v>224370</v>
      </c>
      <c r="G92" s="269">
        <v>189286</v>
      </c>
      <c r="I92" s="331" t="s">
        <v>135</v>
      </c>
      <c r="J92" s="269">
        <v>175952</v>
      </c>
      <c r="K92" s="269">
        <v>177541</v>
      </c>
      <c r="L92" s="269">
        <v>176643</v>
      </c>
      <c r="M92" s="269">
        <v>177883</v>
      </c>
      <c r="N92" s="269">
        <f>SUM(N86:N91)</f>
        <v>173408.59908460997</v>
      </c>
      <c r="O92" s="269">
        <f>SUM(O86:O91)</f>
        <v>170635.31645292</v>
      </c>
    </row>
    <row r="93" spans="2:15" ht="15" thickBot="1">
      <c r="B93" s="337" t="s">
        <v>136</v>
      </c>
      <c r="C93" s="270">
        <f t="shared" ref="C93:D93" si="21">+C83+C92</f>
        <v>3120489</v>
      </c>
      <c r="D93" s="270">
        <f t="shared" si="21"/>
        <v>3068307</v>
      </c>
      <c r="E93" s="270">
        <v>3152697</v>
      </c>
      <c r="F93" s="270">
        <f t="shared" ref="F93" si="22">+F83+F92</f>
        <v>3260294</v>
      </c>
      <c r="G93" s="270">
        <v>2680311</v>
      </c>
      <c r="I93" s="337" t="s">
        <v>136</v>
      </c>
      <c r="J93" s="270">
        <v>2423623</v>
      </c>
      <c r="K93" s="270">
        <v>2522362</v>
      </c>
      <c r="L93" s="270">
        <v>2580975</v>
      </c>
      <c r="M93" s="270">
        <v>2859724</v>
      </c>
      <c r="N93" s="270">
        <f>+N92+N83</f>
        <v>2603066.5890317196</v>
      </c>
      <c r="O93" s="270">
        <f>+O92+O83</f>
        <v>2601974.2244611699</v>
      </c>
    </row>
    <row r="94" spans="2:15">
      <c r="C94" s="468">
        <f>+C60-C93</f>
        <v>0</v>
      </c>
      <c r="D94" s="468">
        <f t="shared" ref="D94:E94" si="23">+D60-D93</f>
        <v>0</v>
      </c>
      <c r="E94" s="468">
        <f t="shared" si="23"/>
        <v>0</v>
      </c>
    </row>
  </sheetData>
  <phoneticPr fontId="194"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AB369"/>
  <sheetViews>
    <sheetView showGridLines="0" zoomScale="80" zoomScaleNormal="80" workbookViewId="0">
      <pane xSplit="2" ySplit="6" topLeftCell="X364" activePane="bottomRight" state="frozen"/>
      <selection pane="topRight" activeCell="C1" sqref="C1"/>
      <selection pane="bottomLeft" activeCell="A7" sqref="A7"/>
      <selection pane="bottomRight" activeCell="AB9" sqref="AB9:AB364"/>
    </sheetView>
  </sheetViews>
  <sheetFormatPr baseColWidth="10" defaultColWidth="11.44140625" defaultRowHeight="14.4"/>
  <cols>
    <col min="1" max="1" width="7.109375" customWidth="1"/>
    <col min="2" max="2" width="57.88671875" bestFit="1" customWidth="1"/>
    <col min="3" max="17" width="15.44140625" customWidth="1"/>
    <col min="18" max="20" width="14.109375" bestFit="1" customWidth="1"/>
    <col min="22" max="22" width="53.5546875" bestFit="1" customWidth="1"/>
    <col min="23" max="24" width="14.109375" bestFit="1" customWidth="1"/>
    <col min="25" max="25" width="15.88671875" style="535" customWidth="1"/>
    <col min="26" max="28" width="14" bestFit="1" customWidth="1"/>
  </cols>
  <sheetData>
    <row r="1" spans="1:28">
      <c r="A1" s="1" t="s">
        <v>37</v>
      </c>
    </row>
    <row r="3" spans="1:28" ht="15.6">
      <c r="B3" s="54" t="s">
        <v>477</v>
      </c>
      <c r="C3" s="29"/>
      <c r="D3" s="29"/>
      <c r="E3" s="30"/>
      <c r="F3" s="29"/>
      <c r="G3" s="29"/>
      <c r="H3" s="29"/>
      <c r="I3" s="30"/>
      <c r="J3" s="29"/>
      <c r="K3" s="29"/>
      <c r="L3" s="29"/>
      <c r="M3" s="30"/>
      <c r="N3" s="29"/>
      <c r="O3" s="29"/>
    </row>
    <row r="4" spans="1:28" ht="13.5" customHeight="1">
      <c r="B4" s="252" t="s">
        <v>478</v>
      </c>
      <c r="C4" s="132"/>
      <c r="D4" s="132"/>
      <c r="E4" s="132"/>
      <c r="F4" s="132"/>
      <c r="G4" s="132"/>
      <c r="H4" s="132"/>
      <c r="I4" s="132"/>
      <c r="J4" s="132"/>
      <c r="K4" s="132"/>
      <c r="L4" s="132"/>
      <c r="M4" s="132"/>
      <c r="N4" s="132"/>
      <c r="O4" s="132"/>
    </row>
    <row r="5" spans="1:28" ht="13.5" customHeight="1">
      <c r="B5" s="217"/>
      <c r="C5" s="132"/>
      <c r="D5" s="132"/>
      <c r="E5" s="132"/>
      <c r="F5" s="132"/>
      <c r="G5" s="132"/>
      <c r="H5" s="132"/>
      <c r="I5" s="132"/>
      <c r="J5" s="132"/>
      <c r="K5" s="132"/>
      <c r="L5" s="132"/>
      <c r="M5" s="132"/>
      <c r="N5" s="132"/>
      <c r="O5" s="132"/>
    </row>
    <row r="6" spans="1:28" ht="15">
      <c r="B6" s="250"/>
      <c r="C6" s="251">
        <v>2016</v>
      </c>
      <c r="D6" s="251">
        <v>2017</v>
      </c>
      <c r="E6" s="251" t="s">
        <v>40</v>
      </c>
      <c r="F6" s="251" t="s">
        <v>41</v>
      </c>
      <c r="G6" s="251" t="s">
        <v>42</v>
      </c>
      <c r="H6" s="251" t="s">
        <v>43</v>
      </c>
      <c r="I6" s="251" t="s">
        <v>44</v>
      </c>
      <c r="J6" s="251" t="s">
        <v>45</v>
      </c>
      <c r="K6" s="251" t="s">
        <v>46</v>
      </c>
      <c r="L6" s="251" t="s">
        <v>47</v>
      </c>
      <c r="M6" s="251" t="s">
        <v>48</v>
      </c>
      <c r="N6" s="251" t="s">
        <v>49</v>
      </c>
      <c r="O6" s="251" t="s">
        <v>50</v>
      </c>
      <c r="P6" s="245" t="s">
        <v>51</v>
      </c>
      <c r="Q6" s="245" t="s">
        <v>52</v>
      </c>
      <c r="R6" s="245" t="s">
        <v>53</v>
      </c>
      <c r="S6" s="245" t="s">
        <v>54</v>
      </c>
      <c r="T6" s="245" t="s">
        <v>55</v>
      </c>
      <c r="V6" s="250"/>
      <c r="W6" s="245" t="s">
        <v>87</v>
      </c>
      <c r="X6" s="245" t="s">
        <v>56</v>
      </c>
      <c r="Y6" s="536" t="s">
        <v>57</v>
      </c>
      <c r="Z6" s="536" t="s">
        <v>1154</v>
      </c>
      <c r="AA6" s="536" t="s">
        <v>1169</v>
      </c>
      <c r="AB6" s="536" t="s">
        <v>1207</v>
      </c>
    </row>
    <row r="7" spans="1:28" ht="15">
      <c r="B7" s="250"/>
      <c r="C7" s="251"/>
      <c r="D7" s="251"/>
      <c r="E7" s="251"/>
      <c r="F7" s="251"/>
      <c r="G7" s="251"/>
      <c r="H7" s="251"/>
      <c r="I7" s="251"/>
      <c r="J7" s="251"/>
      <c r="K7" s="251"/>
      <c r="L7" s="251"/>
      <c r="M7" s="251"/>
      <c r="N7" s="251"/>
      <c r="O7" s="251"/>
      <c r="P7" s="245"/>
      <c r="Q7" s="245"/>
      <c r="R7" s="245"/>
      <c r="S7" s="245"/>
      <c r="T7" s="245"/>
      <c r="V7" s="250"/>
      <c r="W7" s="245"/>
      <c r="X7" s="245"/>
      <c r="Y7" s="536"/>
      <c r="Z7" s="536"/>
      <c r="AA7" s="536"/>
      <c r="AB7" s="536"/>
    </row>
    <row r="8" spans="1:28" ht="5.25" customHeight="1">
      <c r="B8" s="137"/>
      <c r="C8" s="31"/>
      <c r="D8" s="31"/>
      <c r="E8" s="31"/>
      <c r="F8" s="31"/>
      <c r="G8" s="31"/>
      <c r="H8" s="31"/>
      <c r="I8" s="31"/>
      <c r="J8" s="31"/>
      <c r="K8" s="31"/>
      <c r="L8" s="31"/>
      <c r="M8" s="31"/>
      <c r="N8" s="31"/>
      <c r="O8" s="31"/>
      <c r="Z8" s="535"/>
      <c r="AA8" s="535"/>
      <c r="AB8" s="535"/>
    </row>
    <row r="9" spans="1:28" ht="15.6">
      <c r="B9" s="72" t="s">
        <v>58</v>
      </c>
      <c r="C9" s="107">
        <v>21559</v>
      </c>
      <c r="D9" s="107">
        <v>6501</v>
      </c>
      <c r="E9" s="107">
        <v>1605</v>
      </c>
      <c r="F9" s="107">
        <v>2519</v>
      </c>
      <c r="G9" s="107">
        <v>3792</v>
      </c>
      <c r="H9" s="107">
        <v>10850</v>
      </c>
      <c r="I9" s="107">
        <v>3208</v>
      </c>
      <c r="J9" s="107">
        <v>6858</v>
      </c>
      <c r="K9" s="107">
        <v>13157</v>
      </c>
      <c r="L9" s="107">
        <v>13280</v>
      </c>
      <c r="M9" s="107">
        <v>8788</v>
      </c>
      <c r="N9" s="107">
        <v>8649</v>
      </c>
      <c r="O9" s="107">
        <f>25905-M9-N9</f>
        <v>8468</v>
      </c>
      <c r="P9" s="107">
        <v>21083.452605999999</v>
      </c>
      <c r="Q9" s="107">
        <v>9235.8317509999997</v>
      </c>
      <c r="R9" s="107">
        <v>11006.218275000001</v>
      </c>
      <c r="S9" s="107">
        <v>6174.5087820000008</v>
      </c>
      <c r="T9" s="107">
        <v>8591.1498749999955</v>
      </c>
      <c r="V9" s="72" t="s">
        <v>58</v>
      </c>
      <c r="W9" s="107">
        <v>1689.8998779999999</v>
      </c>
      <c r="X9" s="107">
        <v>814.49261000000001</v>
      </c>
      <c r="Y9" s="107">
        <v>3155.3474149999997</v>
      </c>
      <c r="Z9" s="107">
        <v>6964</v>
      </c>
      <c r="AA9" s="107">
        <v>2149.9463930000002</v>
      </c>
      <c r="AB9" s="107">
        <v>1868.9979869999997</v>
      </c>
    </row>
    <row r="10" spans="1:28" ht="15.6">
      <c r="B10" s="72" t="s">
        <v>59</v>
      </c>
      <c r="C10" s="107">
        <v>18557</v>
      </c>
      <c r="D10" s="107">
        <v>5186</v>
      </c>
      <c r="E10" s="107">
        <v>1246</v>
      </c>
      <c r="F10" s="107">
        <v>2052</v>
      </c>
      <c r="G10" s="107">
        <v>3174</v>
      </c>
      <c r="H10" s="107">
        <v>10135</v>
      </c>
      <c r="I10" s="107">
        <v>2839</v>
      </c>
      <c r="J10" s="107">
        <v>6069</v>
      </c>
      <c r="K10" s="107">
        <v>11643</v>
      </c>
      <c r="L10" s="107">
        <v>11752</v>
      </c>
      <c r="M10" s="107">
        <v>7642</v>
      </c>
      <c r="N10" s="107">
        <v>7535</v>
      </c>
      <c r="O10" s="107">
        <f>22545-M10-N10</f>
        <v>7368</v>
      </c>
      <c r="P10" s="107">
        <v>18333.437048</v>
      </c>
      <c r="Q10" s="107">
        <v>8031</v>
      </c>
      <c r="R10" s="107">
        <v>9570.7826300000015</v>
      </c>
      <c r="S10" s="107">
        <v>5369.1082279999973</v>
      </c>
      <c r="T10" s="107">
        <v>7470.5651090000028</v>
      </c>
      <c r="V10" s="72" t="s">
        <v>59</v>
      </c>
      <c r="W10" s="107">
        <v>1469.4781539999999</v>
      </c>
      <c r="X10" s="107">
        <v>9570.6245859999999</v>
      </c>
      <c r="Y10" s="107">
        <v>5369.1082279999991</v>
      </c>
      <c r="Z10" s="107">
        <v>11532</v>
      </c>
      <c r="AA10" s="107">
        <v>1869.518603</v>
      </c>
      <c r="AB10" s="107">
        <v>708.25444299999981</v>
      </c>
    </row>
    <row r="11" spans="1:28" ht="15.6">
      <c r="B11" s="131" t="s">
        <v>60</v>
      </c>
      <c r="C11" s="138">
        <v>3002</v>
      </c>
      <c r="D11" s="138">
        <v>1315</v>
      </c>
      <c r="E11" s="138">
        <v>359</v>
      </c>
      <c r="F11" s="138">
        <v>467</v>
      </c>
      <c r="G11" s="138">
        <v>618</v>
      </c>
      <c r="H11" s="138">
        <v>715</v>
      </c>
      <c r="I11" s="138">
        <v>369</v>
      </c>
      <c r="J11" s="138">
        <v>789</v>
      </c>
      <c r="K11" s="138">
        <v>1514</v>
      </c>
      <c r="L11" s="138">
        <v>1528</v>
      </c>
      <c r="M11" s="138">
        <v>1146</v>
      </c>
      <c r="N11" s="138">
        <v>1114</v>
      </c>
      <c r="O11" s="138">
        <f>+O9-O10</f>
        <v>1100</v>
      </c>
      <c r="P11" s="138">
        <v>2750.0155579999991</v>
      </c>
      <c r="Q11" s="138">
        <f>+Q9-Q10</f>
        <v>1204.8317509999997</v>
      </c>
      <c r="R11" s="138">
        <v>1435.4356449999996</v>
      </c>
      <c r="S11" s="138">
        <v>805.40055400000347</v>
      </c>
      <c r="T11" s="138">
        <v>1120.5847659999927</v>
      </c>
      <c r="V11" s="131" t="s">
        <v>61</v>
      </c>
      <c r="W11" s="138">
        <v>220.42172400000004</v>
      </c>
      <c r="X11" s="138">
        <v>-8756.1319760000006</v>
      </c>
      <c r="Y11" s="138">
        <v>-2213.7608129999994</v>
      </c>
      <c r="Z11" s="138">
        <v>-4567</v>
      </c>
      <c r="AA11" s="138">
        <v>280.42779000000019</v>
      </c>
      <c r="AB11" s="138">
        <v>1160.7435439999999</v>
      </c>
    </row>
    <row r="12" spans="1:28" ht="4.05" customHeight="1">
      <c r="B12" s="72"/>
      <c r="C12" s="107"/>
      <c r="D12" s="107"/>
      <c r="E12" s="107"/>
      <c r="F12" s="107"/>
      <c r="G12" s="107"/>
      <c r="H12" s="107"/>
      <c r="I12" s="107"/>
      <c r="J12" s="107"/>
      <c r="K12" s="107"/>
      <c r="L12" s="107"/>
      <c r="M12" s="107"/>
      <c r="N12" s="107"/>
      <c r="O12" s="107"/>
      <c r="P12" s="107"/>
      <c r="Q12" s="107"/>
      <c r="R12" s="107"/>
      <c r="S12" s="107">
        <v>0</v>
      </c>
      <c r="T12" s="107"/>
      <c r="W12" s="107"/>
      <c r="X12" s="107">
        <v>0</v>
      </c>
      <c r="Y12" s="107"/>
      <c r="Z12" s="107"/>
      <c r="AA12" s="107"/>
      <c r="AB12" s="107"/>
    </row>
    <row r="13" spans="1:28" ht="15.6">
      <c r="B13" s="72" t="s">
        <v>468</v>
      </c>
      <c r="C13" s="107">
        <v>27482</v>
      </c>
      <c r="D13" s="107">
        <v>24698</v>
      </c>
      <c r="E13" s="107">
        <v>5872</v>
      </c>
      <c r="F13" s="107">
        <v>6511</v>
      </c>
      <c r="G13" s="107">
        <v>6485</v>
      </c>
      <c r="H13" s="107">
        <v>7536</v>
      </c>
      <c r="I13" s="107">
        <v>7138</v>
      </c>
      <c r="J13" s="107">
        <v>6972</v>
      </c>
      <c r="K13" s="107">
        <v>9154</v>
      </c>
      <c r="L13" s="107">
        <v>8685</v>
      </c>
      <c r="M13" s="107">
        <v>7003</v>
      </c>
      <c r="N13" s="107">
        <v>7692</v>
      </c>
      <c r="O13" s="107">
        <f>22905-M13-N13</f>
        <v>8210</v>
      </c>
      <c r="P13" s="107">
        <v>10163.71689</v>
      </c>
      <c r="Q13" s="107">
        <v>7240.9150203999998</v>
      </c>
      <c r="R13" s="107">
        <v>9038.3503875999995</v>
      </c>
      <c r="S13" s="107">
        <v>8925.0059079999992</v>
      </c>
      <c r="T13" s="107">
        <v>12363.043470000004</v>
      </c>
      <c r="V13" s="72" t="str">
        <f>+B13</f>
        <v>Ingresos por servicios de operación de vías</v>
      </c>
      <c r="W13" s="107">
        <v>8808.4460060000001</v>
      </c>
      <c r="X13" s="107">
        <v>10473.489051999999</v>
      </c>
      <c r="Y13" s="107">
        <v>10723.989829000002</v>
      </c>
      <c r="Z13" s="107">
        <v>12734</v>
      </c>
      <c r="AA13" s="107">
        <v>12673.166665999999</v>
      </c>
      <c r="AB13" s="107">
        <v>12900.434019000002</v>
      </c>
    </row>
    <row r="14" spans="1:28" ht="15.6">
      <c r="B14" s="72" t="s">
        <v>469</v>
      </c>
      <c r="C14" s="107">
        <v>120243</v>
      </c>
      <c r="D14" s="107">
        <v>122503</v>
      </c>
      <c r="E14" s="107">
        <v>28847</v>
      </c>
      <c r="F14" s="107">
        <v>27761</v>
      </c>
      <c r="G14" s="107">
        <v>28251</v>
      </c>
      <c r="H14" s="107">
        <v>28505</v>
      </c>
      <c r="I14" s="107">
        <v>27818</v>
      </c>
      <c r="J14" s="107">
        <v>28258</v>
      </c>
      <c r="K14" s="107">
        <v>28668</v>
      </c>
      <c r="L14" s="107">
        <v>28882</v>
      </c>
      <c r="M14" s="107">
        <v>28223</v>
      </c>
      <c r="N14" s="107">
        <v>25540</v>
      </c>
      <c r="O14" s="107">
        <f>87232-M14-N14</f>
        <v>33469</v>
      </c>
      <c r="P14" s="107">
        <v>31730.264073000002</v>
      </c>
      <c r="Q14" s="107">
        <v>30988.951077000002</v>
      </c>
      <c r="R14" s="107">
        <v>32156.663703999995</v>
      </c>
      <c r="S14" s="107">
        <v>33125.433321000004</v>
      </c>
      <c r="T14" s="107">
        <v>37709.848901999998</v>
      </c>
      <c r="V14" s="72" t="str">
        <f t="shared" ref="V14:V16" si="0">+B14</f>
        <v>Rendimientos financieros del activo de concesión</v>
      </c>
      <c r="W14" s="107">
        <v>33581.663785999997</v>
      </c>
      <c r="X14" s="107">
        <v>36524.804704000002</v>
      </c>
      <c r="Y14" s="107">
        <v>27296.764588000005</v>
      </c>
      <c r="Z14" s="107">
        <v>28460</v>
      </c>
      <c r="AA14" s="107">
        <v>28301.337792999999</v>
      </c>
      <c r="AB14" s="107">
        <v>29166.437577000004</v>
      </c>
    </row>
    <row r="15" spans="1:28" ht="15.6">
      <c r="B15" s="72" t="s">
        <v>68</v>
      </c>
      <c r="C15" s="107">
        <v>13</v>
      </c>
      <c r="D15" s="107">
        <v>102</v>
      </c>
      <c r="E15" s="107">
        <v>49</v>
      </c>
      <c r="F15" s="107">
        <v>96</v>
      </c>
      <c r="G15" s="107">
        <v>73</v>
      </c>
      <c r="H15" s="107">
        <v>87</v>
      </c>
      <c r="I15" s="107">
        <v>112</v>
      </c>
      <c r="J15" s="107">
        <v>82</v>
      </c>
      <c r="K15" s="107">
        <v>185</v>
      </c>
      <c r="L15" s="107">
        <v>1599</v>
      </c>
      <c r="M15" s="107">
        <v>176</v>
      </c>
      <c r="N15" s="107">
        <v>-108</v>
      </c>
      <c r="O15" s="107">
        <f>92-M15-N15</f>
        <v>24</v>
      </c>
      <c r="P15" s="107">
        <v>77.274477999999988</v>
      </c>
      <c r="Q15" s="107">
        <v>76.796128000000024</v>
      </c>
      <c r="R15" s="107">
        <v>53.594471999999982</v>
      </c>
      <c r="S15" s="107">
        <v>148.340373</v>
      </c>
      <c r="T15" s="107">
        <v>1300.397289</v>
      </c>
      <c r="V15" s="72" t="str">
        <f t="shared" si="0"/>
        <v>Otros ingresos operacionales</v>
      </c>
      <c r="W15" s="107">
        <v>551.85353299999997</v>
      </c>
      <c r="X15" s="107">
        <v>637.03604500000006</v>
      </c>
      <c r="Y15" s="107">
        <v>645.5339449999999</v>
      </c>
      <c r="Z15" s="107">
        <v>652</v>
      </c>
      <c r="AA15" s="107">
        <v>708.98330799999997</v>
      </c>
      <c r="AB15" s="107">
        <v>872.08526599999993</v>
      </c>
    </row>
    <row r="16" spans="1:28" ht="15.6">
      <c r="B16" s="72" t="s">
        <v>69</v>
      </c>
      <c r="C16" s="107">
        <v>26992</v>
      </c>
      <c r="D16" s="107">
        <v>24167</v>
      </c>
      <c r="E16" s="107">
        <v>5869</v>
      </c>
      <c r="F16" s="107">
        <v>6317</v>
      </c>
      <c r="G16" s="107">
        <v>6450</v>
      </c>
      <c r="H16" s="107">
        <v>6694</v>
      </c>
      <c r="I16" s="107">
        <v>6710</v>
      </c>
      <c r="J16" s="107">
        <v>6709</v>
      </c>
      <c r="K16" s="107">
        <v>8865</v>
      </c>
      <c r="L16" s="107">
        <v>8629</v>
      </c>
      <c r="M16" s="107">
        <v>6713</v>
      </c>
      <c r="N16" s="107">
        <v>6908</v>
      </c>
      <c r="O16" s="107">
        <f>24287-M16-N16</f>
        <v>10666</v>
      </c>
      <c r="P16" s="107">
        <v>9410.8489720000016</v>
      </c>
      <c r="Q16" s="107">
        <v>6704.550945</v>
      </c>
      <c r="R16" s="107">
        <v>8368.8429520000027</v>
      </c>
      <c r="S16" s="107">
        <v>8265.059162000005</v>
      </c>
      <c r="T16" s="107">
        <v>11446.127511999992</v>
      </c>
      <c r="V16" s="72" t="str">
        <f t="shared" si="0"/>
        <v>Costos y gastos AOM</v>
      </c>
      <c r="W16" s="107">
        <v>8155.9685239999999</v>
      </c>
      <c r="X16" s="107">
        <v>835.43048100000124</v>
      </c>
      <c r="Y16" s="107">
        <v>7304.2923439999995</v>
      </c>
      <c r="Z16" s="107">
        <v>6314</v>
      </c>
      <c r="AA16" s="107">
        <v>11734.413579</v>
      </c>
      <c r="AB16" s="107">
        <v>12859.348342000001</v>
      </c>
    </row>
    <row r="17" spans="2:28" ht="15.6">
      <c r="B17" s="131" t="s">
        <v>70</v>
      </c>
      <c r="C17" s="138">
        <v>120746</v>
      </c>
      <c r="D17" s="138">
        <v>123136</v>
      </c>
      <c r="E17" s="138">
        <v>28899</v>
      </c>
      <c r="F17" s="138">
        <v>28051</v>
      </c>
      <c r="G17" s="138">
        <v>28359</v>
      </c>
      <c r="H17" s="138">
        <v>29434</v>
      </c>
      <c r="I17" s="138">
        <v>28358</v>
      </c>
      <c r="J17" s="138">
        <v>28603</v>
      </c>
      <c r="K17" s="138">
        <v>29142</v>
      </c>
      <c r="L17" s="138">
        <v>30537</v>
      </c>
      <c r="M17" s="138">
        <v>28689</v>
      </c>
      <c r="N17" s="138">
        <v>26216</v>
      </c>
      <c r="O17" s="138">
        <f>+SUM(O13:O15)-O16</f>
        <v>31037</v>
      </c>
      <c r="P17" s="138">
        <v>32560.406469000001</v>
      </c>
      <c r="Q17" s="138">
        <f>+Q13+Q14+Q15-Q16</f>
        <v>31602.111280400004</v>
      </c>
      <c r="R17" s="138">
        <v>32879.765611599985</v>
      </c>
      <c r="S17" s="138">
        <v>33933.720439999997</v>
      </c>
      <c r="T17" s="138">
        <v>39927.162149000011</v>
      </c>
      <c r="V17" s="72" t="s">
        <v>71</v>
      </c>
      <c r="W17" s="107">
        <v>176.06013300000001</v>
      </c>
      <c r="X17" s="107">
        <v>174.01734599999997</v>
      </c>
      <c r="Y17" s="107">
        <v>0</v>
      </c>
      <c r="Z17" s="107">
        <v>85</v>
      </c>
      <c r="AA17" s="107">
        <v>86.936288000000005</v>
      </c>
      <c r="AB17" s="107">
        <v>73.583489</v>
      </c>
    </row>
    <row r="18" spans="2:28" ht="15.6">
      <c r="B18" s="74" t="s">
        <v>72</v>
      </c>
      <c r="C18" s="108">
        <v>123748</v>
      </c>
      <c r="D18" s="108">
        <v>124451</v>
      </c>
      <c r="E18" s="108">
        <v>29258</v>
      </c>
      <c r="F18" s="108">
        <v>28518</v>
      </c>
      <c r="G18" s="108">
        <v>28977</v>
      </c>
      <c r="H18" s="108">
        <v>30149</v>
      </c>
      <c r="I18" s="108">
        <v>28727</v>
      </c>
      <c r="J18" s="108">
        <v>29392</v>
      </c>
      <c r="K18" s="108">
        <v>30656</v>
      </c>
      <c r="L18" s="108">
        <v>32065</v>
      </c>
      <c r="M18" s="108">
        <v>29835</v>
      </c>
      <c r="N18" s="108">
        <v>27330</v>
      </c>
      <c r="O18" s="108">
        <f>+O11+O17</f>
        <v>32137</v>
      </c>
      <c r="P18" s="108">
        <v>35310.422027000001</v>
      </c>
      <c r="Q18" s="108">
        <f>+Q11+Q17</f>
        <v>32806.943031400006</v>
      </c>
      <c r="R18" s="108">
        <v>34315.201256599983</v>
      </c>
      <c r="S18" s="108">
        <v>34739.120993999997</v>
      </c>
      <c r="T18" s="108">
        <v>41047.746915000003</v>
      </c>
      <c r="V18" s="74" t="s">
        <v>387</v>
      </c>
      <c r="W18" s="108">
        <v>34830.356391999994</v>
      </c>
      <c r="X18" s="108">
        <v>37869.749997999999</v>
      </c>
      <c r="Y18" s="108">
        <v>29148.235205000012</v>
      </c>
      <c r="Z18" s="108">
        <v>30878</v>
      </c>
      <c r="AA18" s="108">
        <v>30142.565689999999</v>
      </c>
      <c r="AB18" s="108">
        <v>31166.768575000009</v>
      </c>
    </row>
    <row r="19" spans="2:28" ht="15.6">
      <c r="B19" s="71"/>
      <c r="C19" s="8"/>
      <c r="D19" s="8"/>
      <c r="E19" s="8"/>
      <c r="F19" s="8"/>
      <c r="G19" s="8"/>
      <c r="H19" s="8"/>
      <c r="I19" s="8"/>
      <c r="J19" s="8"/>
      <c r="K19" s="8"/>
      <c r="L19" s="8"/>
      <c r="M19" s="8"/>
      <c r="N19" s="8"/>
      <c r="O19" s="8"/>
      <c r="P19" s="8"/>
      <c r="Q19" s="8"/>
      <c r="R19" s="8"/>
      <c r="S19" s="8"/>
      <c r="T19" s="8"/>
      <c r="W19" s="8"/>
      <c r="X19" s="8"/>
      <c r="Y19" s="8"/>
    </row>
    <row r="20" spans="2:28" ht="15.6">
      <c r="B20" s="72" t="s">
        <v>71</v>
      </c>
      <c r="C20" s="107">
        <v>143</v>
      </c>
      <c r="D20" s="107">
        <v>371</v>
      </c>
      <c r="E20" s="107">
        <v>101</v>
      </c>
      <c r="F20" s="107">
        <v>102</v>
      </c>
      <c r="G20" s="107">
        <v>106</v>
      </c>
      <c r="H20" s="107">
        <v>109</v>
      </c>
      <c r="I20" s="107">
        <v>151</v>
      </c>
      <c r="J20" s="107">
        <v>186</v>
      </c>
      <c r="K20" s="107">
        <v>204</v>
      </c>
      <c r="L20" s="107">
        <v>207</v>
      </c>
      <c r="M20" s="107">
        <v>791</v>
      </c>
      <c r="N20" s="107">
        <v>1747</v>
      </c>
      <c r="O20" s="107">
        <f>567-M20-N20</f>
        <v>-1971</v>
      </c>
      <c r="P20" s="107">
        <v>200.22452900000002</v>
      </c>
      <c r="Q20" s="107">
        <v>197.630076</v>
      </c>
      <c r="R20" s="107">
        <v>197.33965600000002</v>
      </c>
      <c r="S20" s="107">
        <v>197.77583300000003</v>
      </c>
      <c r="T20" s="107">
        <v>193.14679699999999</v>
      </c>
      <c r="W20" s="107"/>
      <c r="X20" s="107"/>
      <c r="Y20" s="107"/>
    </row>
    <row r="21" spans="2:28" ht="15.6">
      <c r="B21" s="72" t="s">
        <v>74</v>
      </c>
      <c r="C21" s="107">
        <v>0</v>
      </c>
      <c r="D21" s="107">
        <v>0</v>
      </c>
      <c r="E21" s="107">
        <v>0</v>
      </c>
      <c r="F21" s="107">
        <v>0</v>
      </c>
      <c r="G21" s="107">
        <v>0</v>
      </c>
      <c r="H21" s="107">
        <v>0</v>
      </c>
      <c r="I21" s="107">
        <v>0</v>
      </c>
      <c r="J21" s="107">
        <v>0</v>
      </c>
      <c r="K21" s="107">
        <v>0</v>
      </c>
      <c r="L21" s="107">
        <v>0</v>
      </c>
      <c r="M21" s="107">
        <v>0</v>
      </c>
      <c r="N21" s="107">
        <v>0</v>
      </c>
      <c r="O21" s="107">
        <v>0</v>
      </c>
      <c r="P21" s="107"/>
      <c r="Q21" s="107"/>
      <c r="R21" s="107"/>
      <c r="S21" s="107">
        <v>0</v>
      </c>
      <c r="T21" s="107">
        <v>0</v>
      </c>
      <c r="V21" s="38" t="s">
        <v>74</v>
      </c>
      <c r="W21" s="107">
        <v>0</v>
      </c>
      <c r="X21" s="107">
        <v>0</v>
      </c>
      <c r="Y21" s="107"/>
    </row>
    <row r="22" spans="2:28" ht="15.6">
      <c r="B22" s="72" t="s">
        <v>75</v>
      </c>
      <c r="C22" s="107">
        <v>32</v>
      </c>
      <c r="D22" s="107">
        <v>93</v>
      </c>
      <c r="E22" s="107">
        <v>61</v>
      </c>
      <c r="F22" s="107">
        <v>51</v>
      </c>
      <c r="G22" s="107">
        <v>87</v>
      </c>
      <c r="H22" s="107">
        <v>80</v>
      </c>
      <c r="I22" s="107">
        <v>1405</v>
      </c>
      <c r="J22" s="107">
        <v>254</v>
      </c>
      <c r="K22" s="107">
        <v>501</v>
      </c>
      <c r="L22" s="107">
        <v>-544</v>
      </c>
      <c r="M22" s="107">
        <v>242</v>
      </c>
      <c r="N22" s="107">
        <v>-522</v>
      </c>
      <c r="O22" s="107">
        <f>1394-M22-N22</f>
        <v>1674</v>
      </c>
      <c r="P22" s="107">
        <v>-1091.6060549999997</v>
      </c>
      <c r="Q22" s="107">
        <v>593.74658700000009</v>
      </c>
      <c r="R22" s="107">
        <v>96.0867649999999</v>
      </c>
      <c r="S22" s="107">
        <v>-639.62353799999994</v>
      </c>
      <c r="T22" s="107">
        <v>-1494.9705960000001</v>
      </c>
      <c r="V22" s="38" t="s">
        <v>75</v>
      </c>
      <c r="W22" s="107">
        <v>-1197.7710119999999</v>
      </c>
      <c r="X22" s="107">
        <v>-1008.9179799999999</v>
      </c>
      <c r="Y22" s="107">
        <v>1905.2990139999999</v>
      </c>
      <c r="Z22" s="107">
        <v>-28</v>
      </c>
      <c r="AA22" s="107">
        <v>-1333.1718679999999</v>
      </c>
      <c r="AB22" s="107">
        <v>-4093.0850750000004</v>
      </c>
    </row>
    <row r="23" spans="2:28" ht="15.6">
      <c r="B23" s="74" t="s">
        <v>76</v>
      </c>
      <c r="C23" s="109">
        <v>123637</v>
      </c>
      <c r="D23" s="109">
        <v>124173</v>
      </c>
      <c r="E23" s="109">
        <v>29218</v>
      </c>
      <c r="F23" s="109">
        <v>28467</v>
      </c>
      <c r="G23" s="109">
        <v>28958</v>
      </c>
      <c r="H23" s="109">
        <v>30120</v>
      </c>
      <c r="I23" s="109">
        <v>29981</v>
      </c>
      <c r="J23" s="109">
        <v>29460</v>
      </c>
      <c r="K23" s="109">
        <v>30953</v>
      </c>
      <c r="L23" s="109">
        <v>31314</v>
      </c>
      <c r="M23" s="109">
        <v>29286</v>
      </c>
      <c r="N23" s="109">
        <v>25061</v>
      </c>
      <c r="O23" s="109">
        <f>+O18-O20+O21+O22</f>
        <v>35782</v>
      </c>
      <c r="P23" s="109">
        <v>34018.591443000005</v>
      </c>
      <c r="Q23" s="109">
        <f>+Q18-Q20+Q22</f>
        <v>33203.059542400006</v>
      </c>
      <c r="R23" s="109">
        <v>34213.948365599987</v>
      </c>
      <c r="S23" s="109">
        <v>33901.721622999998</v>
      </c>
      <c r="T23" s="109">
        <v>39359.629522000003</v>
      </c>
      <c r="V23" s="223" t="s">
        <v>76</v>
      </c>
      <c r="W23" s="109">
        <v>33632.585379999997</v>
      </c>
      <c r="X23" s="109">
        <v>36860.832017999994</v>
      </c>
      <c r="Y23" s="109">
        <v>31053.534219000012</v>
      </c>
      <c r="Z23" s="109">
        <v>30850</v>
      </c>
      <c r="AA23" s="109">
        <v>28809.393821999998</v>
      </c>
      <c r="AB23" s="109">
        <v>27073.68350000001</v>
      </c>
    </row>
    <row r="24" spans="2:28" ht="15.6">
      <c r="B24" s="72"/>
      <c r="C24" s="107"/>
      <c r="D24" s="107"/>
      <c r="E24" s="107"/>
      <c r="F24" s="107"/>
      <c r="G24" s="107"/>
      <c r="H24" s="107"/>
      <c r="I24" s="107"/>
      <c r="J24" s="107"/>
      <c r="K24" s="107"/>
      <c r="L24" s="107"/>
      <c r="M24" s="107"/>
      <c r="N24" s="107"/>
      <c r="O24" s="107"/>
      <c r="P24" s="107"/>
      <c r="Q24" s="107"/>
      <c r="R24" s="107"/>
      <c r="S24" s="107"/>
      <c r="T24" s="107"/>
      <c r="V24" s="38"/>
      <c r="W24" s="107"/>
      <c r="X24" s="107">
        <v>0</v>
      </c>
      <c r="Y24" s="107"/>
      <c r="Z24" s="107"/>
      <c r="AA24" s="107"/>
      <c r="AB24" s="107"/>
    </row>
    <row r="25" spans="2:28" ht="15.6">
      <c r="B25" s="72" t="s">
        <v>77</v>
      </c>
      <c r="C25" s="107">
        <v>-72222</v>
      </c>
      <c r="D25" s="107">
        <v>-66853</v>
      </c>
      <c r="E25" s="107">
        <v>-17675</v>
      </c>
      <c r="F25" s="107">
        <v>-16833</v>
      </c>
      <c r="G25" s="107">
        <v>-20151</v>
      </c>
      <c r="H25" s="107">
        <v>-14305</v>
      </c>
      <c r="I25" s="107">
        <v>-15276</v>
      </c>
      <c r="J25" s="107">
        <v>-20273</v>
      </c>
      <c r="K25" s="107">
        <v>-13119</v>
      </c>
      <c r="L25" s="107">
        <v>-17430</v>
      </c>
      <c r="M25" s="107">
        <v>-17234</v>
      </c>
      <c r="N25" s="107">
        <v>-15702</v>
      </c>
      <c r="O25" s="107">
        <f>-48586-M25-N25+1</f>
        <v>-15649</v>
      </c>
      <c r="P25" s="107">
        <v>-28470.678848999996</v>
      </c>
      <c r="Q25" s="107">
        <f>10712.467852-Q14</f>
        <v>-20276.483225000004</v>
      </c>
      <c r="R25" s="107">
        <v>-20245.185588999993</v>
      </c>
      <c r="S25" s="107">
        <v>-21523.228683000001</v>
      </c>
      <c r="T25" s="107">
        <v>-34939.328216000009</v>
      </c>
      <c r="V25" s="38" t="s">
        <v>77</v>
      </c>
      <c r="W25" s="107">
        <v>-29374.705303999996</v>
      </c>
      <c r="X25" s="107">
        <v>-43006.689216999999</v>
      </c>
      <c r="Y25" s="107">
        <v>7614.6504429999914</v>
      </c>
      <c r="Z25" s="107">
        <v>2803</v>
      </c>
      <c r="AA25" s="107">
        <v>-1222.4112739999982</v>
      </c>
      <c r="AB25" s="107">
        <v>975.65391799999634</v>
      </c>
    </row>
    <row r="26" spans="2:28" ht="15.6">
      <c r="B26" s="74" t="s">
        <v>78</v>
      </c>
      <c r="C26" s="109">
        <v>51415</v>
      </c>
      <c r="D26" s="109">
        <v>57320</v>
      </c>
      <c r="E26" s="109">
        <v>11543</v>
      </c>
      <c r="F26" s="109">
        <v>11634</v>
      </c>
      <c r="G26" s="109">
        <v>8807</v>
      </c>
      <c r="H26" s="109">
        <v>15815</v>
      </c>
      <c r="I26" s="109">
        <v>14705</v>
      </c>
      <c r="J26" s="109">
        <v>9187</v>
      </c>
      <c r="K26" s="109">
        <v>17834</v>
      </c>
      <c r="L26" s="109">
        <v>13884</v>
      </c>
      <c r="M26" s="109">
        <v>12052</v>
      </c>
      <c r="N26" s="109">
        <v>9359</v>
      </c>
      <c r="O26" s="109">
        <f>+O23+O25</f>
        <v>20133</v>
      </c>
      <c r="P26" s="109">
        <v>5547.9125940000085</v>
      </c>
      <c r="Q26" s="109">
        <f>+Q23+Q25</f>
        <v>12926.576317400002</v>
      </c>
      <c r="R26" s="109">
        <v>13968.762776599993</v>
      </c>
      <c r="S26" s="109">
        <v>12378.492939999996</v>
      </c>
      <c r="T26" s="109">
        <v>4420.3013059999939</v>
      </c>
      <c r="V26" s="223" t="s">
        <v>78</v>
      </c>
      <c r="W26" s="109">
        <v>4257.8800760000013</v>
      </c>
      <c r="X26" s="109">
        <v>-6145.8571990000055</v>
      </c>
      <c r="Y26" s="109">
        <v>38668.184662</v>
      </c>
      <c r="Z26" s="109">
        <v>33654</v>
      </c>
      <c r="AA26" s="109">
        <v>27586.982548</v>
      </c>
      <c r="AB26" s="109">
        <v>28049.337418000006</v>
      </c>
    </row>
    <row r="27" spans="2:28" ht="15.6">
      <c r="B27" s="71"/>
      <c r="C27" s="8"/>
      <c r="D27" s="8"/>
      <c r="E27" s="8"/>
      <c r="F27" s="8"/>
      <c r="G27" s="8"/>
      <c r="H27" s="8"/>
      <c r="I27" s="8"/>
      <c r="J27" s="8"/>
      <c r="K27" s="8"/>
      <c r="L27" s="8"/>
      <c r="M27" s="8"/>
      <c r="N27" s="8"/>
      <c r="O27" s="8"/>
      <c r="P27" s="8"/>
      <c r="Q27" s="8"/>
      <c r="R27" s="8"/>
      <c r="S27" s="8"/>
      <c r="T27" s="8"/>
      <c r="V27" s="328"/>
      <c r="W27" s="8"/>
      <c r="X27" s="8"/>
      <c r="Y27" s="8"/>
      <c r="Z27" s="8"/>
      <c r="AA27" s="8"/>
      <c r="AB27" s="8"/>
    </row>
    <row r="28" spans="2:28" ht="15.6">
      <c r="B28" s="72" t="s">
        <v>79</v>
      </c>
      <c r="C28" s="107">
        <v>9109</v>
      </c>
      <c r="D28" s="107">
        <v>12227</v>
      </c>
      <c r="E28" s="107">
        <v>1978</v>
      </c>
      <c r="F28" s="107">
        <v>1777</v>
      </c>
      <c r="G28" s="107">
        <v>1329</v>
      </c>
      <c r="H28" s="107">
        <v>-254</v>
      </c>
      <c r="I28" s="107">
        <v>3898</v>
      </c>
      <c r="J28" s="107">
        <v>118</v>
      </c>
      <c r="K28" s="107">
        <v>3933</v>
      </c>
      <c r="L28" s="107">
        <v>2148</v>
      </c>
      <c r="M28" s="107">
        <v>1278</v>
      </c>
      <c r="N28" s="107">
        <v>1944</v>
      </c>
      <c r="O28" s="107">
        <f>8432-M28-N28</f>
        <v>5210</v>
      </c>
      <c r="P28" s="107">
        <v>-351.81883400000004</v>
      </c>
      <c r="Q28" s="107">
        <v>1400.2524350000001</v>
      </c>
      <c r="R28" s="107">
        <v>1922.642889</v>
      </c>
      <c r="S28" s="107">
        <v>2453.1864569999998</v>
      </c>
      <c r="T28" s="107">
        <v>-5559.9595209999998</v>
      </c>
      <c r="V28" s="38" t="s">
        <v>79</v>
      </c>
      <c r="W28" s="107">
        <v>859.85943799999995</v>
      </c>
      <c r="X28" s="107">
        <v>-12659.656793</v>
      </c>
      <c r="Y28" s="107">
        <v>4227.9607250000008</v>
      </c>
      <c r="Z28" s="107">
        <v>4901</v>
      </c>
      <c r="AA28" s="107">
        <v>5657.795736</v>
      </c>
      <c r="AB28" s="107">
        <v>4832.6871840000003</v>
      </c>
    </row>
    <row r="29" spans="2:28" ht="15.6">
      <c r="B29" s="74" t="s">
        <v>82</v>
      </c>
      <c r="C29" s="109">
        <v>42306</v>
      </c>
      <c r="D29" s="109">
        <v>45093</v>
      </c>
      <c r="E29" s="109">
        <v>9565</v>
      </c>
      <c r="F29" s="109">
        <v>9857</v>
      </c>
      <c r="G29" s="109">
        <v>7478</v>
      </c>
      <c r="H29" s="109">
        <v>16069</v>
      </c>
      <c r="I29" s="109">
        <v>10807</v>
      </c>
      <c r="J29" s="109">
        <v>9069</v>
      </c>
      <c r="K29" s="109">
        <v>13901</v>
      </c>
      <c r="L29" s="109">
        <v>11736</v>
      </c>
      <c r="M29" s="109">
        <v>10774</v>
      </c>
      <c r="N29" s="109">
        <v>7415</v>
      </c>
      <c r="O29" s="109">
        <f>+O26-O28</f>
        <v>14923</v>
      </c>
      <c r="P29" s="109">
        <v>5899.7314280000082</v>
      </c>
      <c r="Q29" s="109">
        <f>+Q26-Q28</f>
        <v>11526.323882400002</v>
      </c>
      <c r="R29" s="109">
        <v>12046.119887599993</v>
      </c>
      <c r="S29" s="109">
        <v>9925.3064829999967</v>
      </c>
      <c r="T29" s="109">
        <v>9980.2608269999946</v>
      </c>
      <c r="V29" s="223" t="s">
        <v>82</v>
      </c>
      <c r="W29" s="109">
        <v>3398.0206380000013</v>
      </c>
      <c r="X29" s="109">
        <v>6513.7995939999946</v>
      </c>
      <c r="Y29" s="109">
        <v>34440.223937000002</v>
      </c>
      <c r="Z29" s="109">
        <v>28753</v>
      </c>
      <c r="AA29" s="109">
        <v>21929.186812</v>
      </c>
      <c r="AB29" s="109">
        <v>23216.650234000008</v>
      </c>
    </row>
    <row r="30" spans="2:28" ht="15.6">
      <c r="B30" s="132"/>
      <c r="C30" s="132"/>
      <c r="D30" s="132"/>
      <c r="E30" s="132"/>
      <c r="F30" s="132"/>
      <c r="G30" s="132"/>
      <c r="H30" s="132"/>
      <c r="I30" s="132"/>
      <c r="J30" s="132"/>
      <c r="K30" s="132"/>
      <c r="L30" s="132"/>
      <c r="M30" s="132"/>
      <c r="N30" s="132"/>
      <c r="O30" s="132"/>
      <c r="W30" s="535"/>
      <c r="X30" s="535"/>
      <c r="Z30" s="535"/>
      <c r="AA30" s="535"/>
      <c r="AB30" s="535"/>
    </row>
    <row r="31" spans="2:28" ht="15.6">
      <c r="B31" s="54" t="s">
        <v>479</v>
      </c>
      <c r="C31" s="132"/>
      <c r="D31" s="132"/>
      <c r="E31" s="132"/>
      <c r="F31" s="132"/>
      <c r="G31" s="132"/>
      <c r="H31" s="77"/>
      <c r="I31" s="77"/>
      <c r="J31" s="77"/>
      <c r="K31" s="77"/>
      <c r="L31" s="77"/>
      <c r="M31" s="77"/>
      <c r="N31" s="77"/>
      <c r="O31" s="77"/>
      <c r="V31" s="74" t="s">
        <v>84</v>
      </c>
      <c r="W31" s="109">
        <v>33991</v>
      </c>
      <c r="X31" s="109">
        <v>-6319.8745450000051</v>
      </c>
      <c r="Y31" s="109">
        <v>38668.184662</v>
      </c>
      <c r="Z31" s="109">
        <v>33569</v>
      </c>
      <c r="AA31" s="109">
        <v>27500.046259999999</v>
      </c>
      <c r="AB31" s="109">
        <v>27975.753929000006</v>
      </c>
    </row>
    <row r="32" spans="2:28" ht="15.6">
      <c r="B32" s="252" t="s">
        <v>478</v>
      </c>
      <c r="C32" s="132"/>
      <c r="D32" s="132"/>
      <c r="E32" s="132"/>
      <c r="F32" s="132"/>
      <c r="G32" s="132"/>
      <c r="H32" s="78"/>
      <c r="I32" s="78"/>
      <c r="J32" s="78"/>
      <c r="K32" s="78"/>
      <c r="L32" s="78"/>
      <c r="M32" s="78"/>
      <c r="N32" s="78"/>
      <c r="O32" s="78"/>
      <c r="Z32" s="535"/>
      <c r="AA32" s="535"/>
      <c r="AB32" s="535"/>
    </row>
    <row r="33" spans="2:28" ht="15.6">
      <c r="B33" s="79"/>
      <c r="C33" s="132"/>
      <c r="D33" s="132"/>
      <c r="E33" s="132"/>
      <c r="F33" s="132"/>
      <c r="G33" s="132"/>
      <c r="H33" s="79"/>
      <c r="I33" s="79"/>
      <c r="J33" s="79"/>
      <c r="K33" s="79"/>
      <c r="L33" s="79"/>
      <c r="M33" s="79"/>
      <c r="N33" s="79"/>
      <c r="O33" s="79"/>
    </row>
    <row r="34" spans="2:28" ht="15.6" thickBot="1">
      <c r="B34" s="250"/>
      <c r="C34" s="251">
        <v>2016</v>
      </c>
      <c r="D34" s="251">
        <v>2017</v>
      </c>
      <c r="E34" s="251" t="s">
        <v>40</v>
      </c>
      <c r="F34" s="251" t="s">
        <v>41</v>
      </c>
      <c r="G34" s="251" t="s">
        <v>42</v>
      </c>
      <c r="H34" s="251" t="s">
        <v>43</v>
      </c>
      <c r="I34" s="251" t="s">
        <v>44</v>
      </c>
      <c r="J34" s="251" t="s">
        <v>45</v>
      </c>
      <c r="K34" s="251" t="s">
        <v>46</v>
      </c>
      <c r="L34" s="251" t="s">
        <v>47</v>
      </c>
      <c r="M34" s="251" t="s">
        <v>48</v>
      </c>
      <c r="N34" s="251" t="s">
        <v>49</v>
      </c>
      <c r="O34" s="251" t="s">
        <v>50</v>
      </c>
      <c r="P34" s="245" t="s">
        <v>51</v>
      </c>
      <c r="Q34" s="245" t="s">
        <v>52</v>
      </c>
      <c r="R34" s="245" t="s">
        <v>53</v>
      </c>
      <c r="S34" s="245" t="s">
        <v>54</v>
      </c>
      <c r="T34" s="245" t="s">
        <v>55</v>
      </c>
      <c r="V34" s="250"/>
      <c r="W34" s="536" t="s">
        <v>87</v>
      </c>
      <c r="X34" s="536" t="s">
        <v>56</v>
      </c>
      <c r="Y34" s="536" t="s">
        <v>57</v>
      </c>
      <c r="Z34" s="536" t="s">
        <v>1154</v>
      </c>
      <c r="AA34" s="536" t="str">
        <f>+AA6</f>
        <v>1T23</v>
      </c>
      <c r="AB34" s="536" t="s">
        <v>1207</v>
      </c>
    </row>
    <row r="35" spans="2:28" ht="15">
      <c r="B35" s="165" t="s">
        <v>88</v>
      </c>
      <c r="C35" s="166"/>
      <c r="D35" s="166"/>
      <c r="E35" s="166"/>
      <c r="F35" s="166"/>
      <c r="G35" s="166"/>
      <c r="H35" s="166"/>
      <c r="I35" s="166"/>
      <c r="J35" s="166"/>
      <c r="K35" s="166"/>
      <c r="L35" s="166"/>
      <c r="M35" s="166"/>
      <c r="N35" s="166"/>
      <c r="O35" s="166"/>
      <c r="P35" s="166"/>
      <c r="Q35" s="166"/>
      <c r="R35" s="166"/>
      <c r="S35" s="166"/>
      <c r="T35" s="166"/>
      <c r="V35" s="165" t="s">
        <v>88</v>
      </c>
      <c r="W35" s="537"/>
      <c r="X35" s="537"/>
      <c r="Y35" s="537"/>
      <c r="Z35" s="537"/>
      <c r="AA35" s="537"/>
      <c r="AB35" s="537"/>
    </row>
    <row r="36" spans="2:28" ht="15.6" thickBot="1">
      <c r="B36" s="115" t="s">
        <v>89</v>
      </c>
      <c r="C36" s="116"/>
      <c r="D36" s="116"/>
      <c r="E36" s="116"/>
      <c r="F36" s="116"/>
      <c r="G36" s="116"/>
      <c r="H36" s="116"/>
      <c r="I36" s="116"/>
      <c r="J36" s="116"/>
      <c r="K36" s="116"/>
      <c r="L36" s="116"/>
      <c r="M36" s="116"/>
      <c r="N36" s="116"/>
      <c r="O36" s="116"/>
      <c r="P36" s="116"/>
      <c r="Q36" s="116"/>
      <c r="R36" s="116"/>
      <c r="S36" s="116"/>
      <c r="T36" s="116"/>
      <c r="V36" s="115" t="s">
        <v>89</v>
      </c>
      <c r="W36" s="538"/>
      <c r="X36" s="538"/>
      <c r="Y36" s="85"/>
      <c r="Z36" s="85"/>
      <c r="AA36" s="85"/>
      <c r="AB36" s="85"/>
    </row>
    <row r="37" spans="2:28" s="36" customFormat="1" ht="16.2" thickBot="1">
      <c r="B37" s="180" t="s">
        <v>90</v>
      </c>
      <c r="C37" s="181">
        <v>23780</v>
      </c>
      <c r="D37" s="181">
        <v>58396</v>
      </c>
      <c r="E37" s="181">
        <v>71772</v>
      </c>
      <c r="F37" s="181">
        <v>69675</v>
      </c>
      <c r="G37" s="181">
        <v>84519</v>
      </c>
      <c r="H37" s="181">
        <v>14993</v>
      </c>
      <c r="I37" s="181">
        <v>88153</v>
      </c>
      <c r="J37" s="181">
        <v>32519</v>
      </c>
      <c r="K37" s="181">
        <v>28794</v>
      </c>
      <c r="L37" s="181">
        <v>107023</v>
      </c>
      <c r="M37" s="181">
        <v>63442</v>
      </c>
      <c r="N37" s="181">
        <v>73305</v>
      </c>
      <c r="O37" s="181">
        <v>66213</v>
      </c>
      <c r="P37" s="181">
        <v>78660.329572999995</v>
      </c>
      <c r="Q37" s="181">
        <v>80818.542000000001</v>
      </c>
      <c r="R37" s="181">
        <v>103157.99000400001</v>
      </c>
      <c r="S37" s="181">
        <v>104418.43581</v>
      </c>
      <c r="T37" s="181">
        <v>63329.842559999997</v>
      </c>
      <c r="V37" s="180" t="s">
        <v>90</v>
      </c>
      <c r="W37" s="539">
        <v>86227.966939999998</v>
      </c>
      <c r="X37" s="539">
        <v>128957.802866</v>
      </c>
      <c r="Y37" s="610">
        <v>124518.405508</v>
      </c>
      <c r="Z37" s="610">
        <v>152544</v>
      </c>
      <c r="AA37" s="610">
        <v>158546.70126500001</v>
      </c>
      <c r="AB37" s="610">
        <v>88973.229980000004</v>
      </c>
    </row>
    <row r="38" spans="2:28" s="36" customFormat="1" ht="16.2" thickBot="1">
      <c r="B38" s="180" t="s">
        <v>91</v>
      </c>
      <c r="C38" s="181">
        <f>128874+21470</f>
        <v>150344</v>
      </c>
      <c r="D38" s="181">
        <v>129338</v>
      </c>
      <c r="E38" s="181">
        <v>150077</v>
      </c>
      <c r="F38" s="181">
        <v>152551</v>
      </c>
      <c r="G38" s="181">
        <v>150703</v>
      </c>
      <c r="H38" s="181">
        <v>207466</v>
      </c>
      <c r="I38" s="181">
        <v>161282</v>
      </c>
      <c r="J38" s="181">
        <v>358114</v>
      </c>
      <c r="K38" s="181">
        <v>377042</v>
      </c>
      <c r="L38" s="181">
        <v>276863</v>
      </c>
      <c r="M38" s="181">
        <v>296045</v>
      </c>
      <c r="N38" s="181">
        <v>260736</v>
      </c>
      <c r="O38" s="181">
        <v>252595</v>
      </c>
      <c r="P38" s="181">
        <v>219704.89140399999</v>
      </c>
      <c r="Q38" s="181">
        <f>210034.474+23257.443</f>
        <v>233291.91699999999</v>
      </c>
      <c r="R38" s="181">
        <v>207363.33536299999</v>
      </c>
      <c r="S38" s="181">
        <v>231482.68868699999</v>
      </c>
      <c r="T38" s="181">
        <v>212001.211587</v>
      </c>
      <c r="V38" s="180" t="s">
        <v>91</v>
      </c>
      <c r="W38" s="539">
        <v>234284.73655900001</v>
      </c>
      <c r="X38" s="539">
        <v>212202.23999199999</v>
      </c>
      <c r="Y38" s="610">
        <v>258674.47969599999</v>
      </c>
      <c r="Z38" s="610">
        <v>250108</v>
      </c>
      <c r="AA38" s="610">
        <v>271760.59483999998</v>
      </c>
      <c r="AB38" s="610">
        <v>259077.71152099999</v>
      </c>
    </row>
    <row r="39" spans="2:28" s="36" customFormat="1" ht="16.2" thickBot="1">
      <c r="B39" s="180" t="s">
        <v>92</v>
      </c>
      <c r="C39" s="181">
        <v>59</v>
      </c>
      <c r="D39" s="181">
        <v>39</v>
      </c>
      <c r="E39" s="181">
        <v>39</v>
      </c>
      <c r="F39" s="181">
        <v>39</v>
      </c>
      <c r="G39" s="181">
        <v>39</v>
      </c>
      <c r="H39" s="181">
        <v>3163</v>
      </c>
      <c r="I39" s="181">
        <v>3178</v>
      </c>
      <c r="J39" s="181">
        <v>3178</v>
      </c>
      <c r="K39" s="181">
        <v>3178</v>
      </c>
      <c r="L39" s="181">
        <v>5275</v>
      </c>
      <c r="M39" s="181">
        <v>3178</v>
      </c>
      <c r="N39" s="181">
        <v>3178</v>
      </c>
      <c r="O39" s="181">
        <v>3178</v>
      </c>
      <c r="P39" s="181">
        <v>2628.049649</v>
      </c>
      <c r="Q39" s="181">
        <v>2628.05</v>
      </c>
      <c r="R39" s="181">
        <v>59.936132000000001</v>
      </c>
      <c r="S39" s="181">
        <v>59.936132000000001</v>
      </c>
      <c r="T39" s="181">
        <v>80.620692000000005</v>
      </c>
      <c r="V39" s="180" t="s">
        <v>92</v>
      </c>
      <c r="W39" s="539">
        <v>80.620692000000005</v>
      </c>
      <c r="X39" s="539">
        <v>80.620692000000005</v>
      </c>
      <c r="Y39" s="610">
        <v>80.620692000000005</v>
      </c>
      <c r="Z39" s="610">
        <v>110</v>
      </c>
      <c r="AA39" s="610">
        <v>109.72874299999999</v>
      </c>
      <c r="AB39" s="610">
        <v>68.057188999999994</v>
      </c>
    </row>
    <row r="40" spans="2:28" s="36" customFormat="1" ht="16.2" thickBot="1">
      <c r="B40" s="180" t="s">
        <v>94</v>
      </c>
      <c r="C40" s="181">
        <v>544</v>
      </c>
      <c r="D40" s="181">
        <v>654</v>
      </c>
      <c r="E40" s="181">
        <v>326</v>
      </c>
      <c r="F40" s="181">
        <v>1403</v>
      </c>
      <c r="G40" s="181">
        <v>1319</v>
      </c>
      <c r="H40" s="181">
        <v>1060</v>
      </c>
      <c r="I40" s="181">
        <v>910</v>
      </c>
      <c r="J40" s="181">
        <v>898</v>
      </c>
      <c r="K40" s="181">
        <v>619</v>
      </c>
      <c r="L40" s="181">
        <v>1266</v>
      </c>
      <c r="M40" s="181">
        <v>1270</v>
      </c>
      <c r="N40" s="181">
        <v>1244</v>
      </c>
      <c r="O40" s="181">
        <v>880</v>
      </c>
      <c r="P40" s="181">
        <v>1910.5675819999999</v>
      </c>
      <c r="Q40" s="181">
        <v>2474.4769999999999</v>
      </c>
      <c r="R40" s="181">
        <v>1998.913939</v>
      </c>
      <c r="S40" s="181">
        <v>1562.453659</v>
      </c>
      <c r="T40" s="181">
        <v>1146.156062</v>
      </c>
      <c r="V40" s="180" t="s">
        <v>94</v>
      </c>
      <c r="W40" s="539">
        <v>889.90542300000004</v>
      </c>
      <c r="X40" s="539">
        <v>3017.5825709999999</v>
      </c>
      <c r="Y40" s="610">
        <v>3104.0872330000002</v>
      </c>
      <c r="Z40" s="610">
        <v>2554</v>
      </c>
      <c r="AA40" s="610">
        <v>1903.936461</v>
      </c>
      <c r="AB40" s="610">
        <v>1302.8511599999999</v>
      </c>
    </row>
    <row r="41" spans="2:28" s="36" customFormat="1" ht="16.2" thickBot="1">
      <c r="B41" s="180" t="s">
        <v>391</v>
      </c>
      <c r="C41" s="181">
        <v>0</v>
      </c>
      <c r="D41" s="181">
        <v>468</v>
      </c>
      <c r="E41" s="181">
        <v>455</v>
      </c>
      <c r="F41" s="181">
        <v>487</v>
      </c>
      <c r="G41" s="181">
        <v>504</v>
      </c>
      <c r="H41" s="181">
        <v>557</v>
      </c>
      <c r="I41" s="181">
        <v>594</v>
      </c>
      <c r="J41" s="181">
        <v>775</v>
      </c>
      <c r="K41" s="181">
        <v>630</v>
      </c>
      <c r="L41" s="181">
        <v>574</v>
      </c>
      <c r="M41" s="181">
        <v>609</v>
      </c>
      <c r="N41" s="181">
        <v>522</v>
      </c>
      <c r="O41" s="181">
        <v>502</v>
      </c>
      <c r="P41" s="181">
        <v>438.84922799999998</v>
      </c>
      <c r="Q41" s="181">
        <v>639.976</v>
      </c>
      <c r="R41" s="181">
        <v>717.87996099999998</v>
      </c>
      <c r="S41" s="181">
        <v>655.07920100000001</v>
      </c>
      <c r="T41" s="181">
        <v>617.30825500000003</v>
      </c>
      <c r="V41" s="180" t="s">
        <v>391</v>
      </c>
      <c r="W41" s="539">
        <v>607.08932900000002</v>
      </c>
      <c r="X41" s="539">
        <v>782.90594799999997</v>
      </c>
      <c r="Y41" s="610">
        <v>760.75101800000004</v>
      </c>
      <c r="Z41" s="610">
        <v>696</v>
      </c>
      <c r="AA41" s="610">
        <v>627.22132399999998</v>
      </c>
      <c r="AB41" s="610">
        <v>845.18368099999998</v>
      </c>
    </row>
    <row r="42" spans="2:28" s="36" customFormat="1" ht="15.6">
      <c r="B42" s="182" t="s">
        <v>95</v>
      </c>
      <c r="C42" s="183">
        <v>0</v>
      </c>
      <c r="D42" s="183">
        <v>0</v>
      </c>
      <c r="E42" s="183">
        <v>0</v>
      </c>
      <c r="F42" s="183">
        <v>0</v>
      </c>
      <c r="G42" s="183">
        <v>0</v>
      </c>
      <c r="H42" s="183">
        <v>0</v>
      </c>
      <c r="I42" s="183">
        <v>0</v>
      </c>
      <c r="J42" s="183">
        <v>0</v>
      </c>
      <c r="K42" s="183">
        <v>0</v>
      </c>
      <c r="L42" s="183">
        <v>0</v>
      </c>
      <c r="M42" s="183">
        <v>0</v>
      </c>
      <c r="N42" s="183">
        <v>0</v>
      </c>
      <c r="O42" s="183">
        <v>0</v>
      </c>
      <c r="P42" s="183"/>
      <c r="Q42" s="183"/>
      <c r="R42" s="183"/>
      <c r="S42" s="183">
        <v>0</v>
      </c>
      <c r="T42" s="183"/>
      <c r="V42" s="182" t="s">
        <v>95</v>
      </c>
      <c r="W42" s="540"/>
      <c r="X42" s="540">
        <v>0</v>
      </c>
      <c r="Y42" s="610">
        <v>0</v>
      </c>
      <c r="Z42" s="610" t="s">
        <v>1155</v>
      </c>
      <c r="AA42" s="610"/>
      <c r="AB42" s="610">
        <v>0</v>
      </c>
    </row>
    <row r="43" spans="2:28" ht="15">
      <c r="B43" s="121" t="s">
        <v>96</v>
      </c>
      <c r="C43" s="171">
        <f t="shared" ref="C43:N43" si="1">SUM(C37:C42)</f>
        <v>174727</v>
      </c>
      <c r="D43" s="171">
        <f t="shared" si="1"/>
        <v>188895</v>
      </c>
      <c r="E43" s="171">
        <f t="shared" si="1"/>
        <v>222669</v>
      </c>
      <c r="F43" s="171">
        <f t="shared" si="1"/>
        <v>224155</v>
      </c>
      <c r="G43" s="171">
        <f t="shared" si="1"/>
        <v>237084</v>
      </c>
      <c r="H43" s="171">
        <f t="shared" si="1"/>
        <v>227239</v>
      </c>
      <c r="I43" s="171">
        <f t="shared" si="1"/>
        <v>254117</v>
      </c>
      <c r="J43" s="171">
        <f t="shared" si="1"/>
        <v>395484</v>
      </c>
      <c r="K43" s="171">
        <f t="shared" si="1"/>
        <v>410263</v>
      </c>
      <c r="L43" s="171">
        <f t="shared" si="1"/>
        <v>391001</v>
      </c>
      <c r="M43" s="171">
        <f t="shared" si="1"/>
        <v>364544</v>
      </c>
      <c r="N43" s="171">
        <f t="shared" si="1"/>
        <v>338985</v>
      </c>
      <c r="O43" s="171">
        <v>323368</v>
      </c>
      <c r="P43" s="171">
        <f>SUM(P37:P42)</f>
        <v>303342.68743599992</v>
      </c>
      <c r="Q43" s="171">
        <f>SUM(Q37:Q42)</f>
        <v>319852.962</v>
      </c>
      <c r="R43" s="171">
        <v>313298.055399</v>
      </c>
      <c r="S43" s="171">
        <v>338178.59348899999</v>
      </c>
      <c r="T43" s="171">
        <v>277175.13915600005</v>
      </c>
      <c r="V43" s="121" t="s">
        <v>96</v>
      </c>
      <c r="W43" s="541">
        <v>322090.31894299999</v>
      </c>
      <c r="X43" s="541">
        <v>345041.152069</v>
      </c>
      <c r="Y43" s="541">
        <v>387138.34414700005</v>
      </c>
      <c r="Z43" s="541">
        <v>406012</v>
      </c>
      <c r="AA43" s="541">
        <v>432948.18263299996</v>
      </c>
      <c r="AB43" s="541">
        <v>350267.03353100002</v>
      </c>
    </row>
    <row r="44" spans="2:28" ht="15">
      <c r="B44" s="167" t="s">
        <v>97</v>
      </c>
      <c r="C44" s="168"/>
      <c r="D44" s="168"/>
      <c r="E44" s="168"/>
      <c r="F44" s="168"/>
      <c r="G44" s="168"/>
      <c r="H44" s="168"/>
      <c r="I44" s="168"/>
      <c r="J44" s="168"/>
      <c r="K44" s="168"/>
      <c r="L44" s="168"/>
      <c r="M44" s="168"/>
      <c r="N44" s="168"/>
      <c r="O44" s="168"/>
      <c r="P44" s="168"/>
      <c r="Q44" s="168"/>
      <c r="R44" s="168"/>
      <c r="S44" s="168"/>
      <c r="T44" s="168"/>
      <c r="V44" s="167" t="s">
        <v>97</v>
      </c>
      <c r="W44" s="519"/>
      <c r="X44" s="519"/>
      <c r="Y44" s="519"/>
      <c r="Z44" s="519"/>
      <c r="AA44" s="519"/>
      <c r="AB44" s="519"/>
    </row>
    <row r="45" spans="2:28" s="36" customFormat="1" ht="15.6">
      <c r="B45" s="169" t="s">
        <v>98</v>
      </c>
      <c r="C45" s="170">
        <v>0</v>
      </c>
      <c r="D45" s="170">
        <v>0</v>
      </c>
      <c r="E45" s="170">
        <v>0</v>
      </c>
      <c r="F45" s="170">
        <v>0</v>
      </c>
      <c r="G45" s="170">
        <v>0</v>
      </c>
      <c r="H45" s="170">
        <v>0</v>
      </c>
      <c r="I45" s="170">
        <v>0</v>
      </c>
      <c r="J45" s="170">
        <v>0</v>
      </c>
      <c r="K45" s="170">
        <v>0</v>
      </c>
      <c r="L45" s="170">
        <v>0</v>
      </c>
      <c r="M45" s="170">
        <v>0</v>
      </c>
      <c r="N45" s="170">
        <v>0</v>
      </c>
      <c r="O45" s="170">
        <v>0</v>
      </c>
      <c r="P45" s="170">
        <v>0</v>
      </c>
      <c r="Q45" s="170">
        <v>0</v>
      </c>
      <c r="R45" s="170">
        <v>0</v>
      </c>
      <c r="S45" s="170">
        <v>0</v>
      </c>
      <c r="T45" s="170">
        <v>0</v>
      </c>
      <c r="V45" s="169" t="s">
        <v>98</v>
      </c>
      <c r="W45" s="542">
        <v>0</v>
      </c>
      <c r="X45" s="542">
        <v>0</v>
      </c>
      <c r="Y45" s="542">
        <v>0</v>
      </c>
      <c r="Z45" s="542" t="s">
        <v>1155</v>
      </c>
      <c r="AA45" s="542">
        <v>0</v>
      </c>
      <c r="AB45" s="542">
        <v>0</v>
      </c>
    </row>
    <row r="46" spans="2:28" s="36" customFormat="1" ht="15.6">
      <c r="B46" s="169" t="s">
        <v>99</v>
      </c>
      <c r="C46" s="170">
        <v>0</v>
      </c>
      <c r="D46" s="170">
        <v>0</v>
      </c>
      <c r="E46" s="170">
        <v>0</v>
      </c>
      <c r="F46" s="170">
        <v>0</v>
      </c>
      <c r="G46" s="170">
        <v>0</v>
      </c>
      <c r="H46" s="170">
        <v>0</v>
      </c>
      <c r="I46" s="170">
        <v>0</v>
      </c>
      <c r="J46" s="170">
        <v>0</v>
      </c>
      <c r="K46" s="170">
        <v>0</v>
      </c>
      <c r="L46" s="170">
        <v>0</v>
      </c>
      <c r="M46" s="170">
        <v>0</v>
      </c>
      <c r="N46" s="170">
        <v>0</v>
      </c>
      <c r="O46" s="170">
        <v>0</v>
      </c>
      <c r="P46" s="170">
        <v>0</v>
      </c>
      <c r="Q46" s="170">
        <v>0</v>
      </c>
      <c r="R46" s="170">
        <v>0</v>
      </c>
      <c r="S46" s="170">
        <v>0</v>
      </c>
      <c r="T46" s="170">
        <v>0</v>
      </c>
      <c r="V46" s="169" t="s">
        <v>99</v>
      </c>
      <c r="W46" s="542">
        <v>0</v>
      </c>
      <c r="X46" s="542">
        <v>0</v>
      </c>
      <c r="Y46" s="542">
        <v>0</v>
      </c>
      <c r="Z46" s="542" t="s">
        <v>1155</v>
      </c>
      <c r="AA46" s="542">
        <v>0</v>
      </c>
      <c r="AB46" s="542">
        <v>0</v>
      </c>
    </row>
    <row r="47" spans="2:28" s="36" customFormat="1" ht="30">
      <c r="B47" s="169" t="s">
        <v>150</v>
      </c>
      <c r="C47" s="170">
        <v>0</v>
      </c>
      <c r="D47" s="170">
        <v>0</v>
      </c>
      <c r="E47" s="170">
        <v>0</v>
      </c>
      <c r="F47" s="170">
        <v>0</v>
      </c>
      <c r="G47" s="170">
        <v>0</v>
      </c>
      <c r="H47" s="170">
        <v>0</v>
      </c>
      <c r="I47" s="170">
        <v>0</v>
      </c>
      <c r="J47" s="170">
        <v>0</v>
      </c>
      <c r="K47" s="170">
        <v>0</v>
      </c>
      <c r="L47" s="170">
        <v>0</v>
      </c>
      <c r="M47" s="170">
        <v>0</v>
      </c>
      <c r="N47" s="170">
        <v>0</v>
      </c>
      <c r="O47" s="170">
        <v>0</v>
      </c>
      <c r="P47" s="170">
        <v>0</v>
      </c>
      <c r="Q47" s="170">
        <v>0</v>
      </c>
      <c r="R47" s="170">
        <v>0</v>
      </c>
      <c r="S47" s="170">
        <v>0</v>
      </c>
      <c r="T47" s="170">
        <v>0</v>
      </c>
      <c r="V47" s="169" t="s">
        <v>150</v>
      </c>
      <c r="W47" s="542">
        <v>0</v>
      </c>
      <c r="X47" s="542">
        <v>0</v>
      </c>
      <c r="Y47" s="542">
        <v>0</v>
      </c>
      <c r="Z47" s="542" t="s">
        <v>1155</v>
      </c>
      <c r="AA47" s="542">
        <v>0</v>
      </c>
      <c r="AB47" s="542">
        <v>0</v>
      </c>
    </row>
    <row r="48" spans="2:28" s="36" customFormat="1" ht="15.6">
      <c r="B48" s="169" t="s">
        <v>151</v>
      </c>
      <c r="C48" s="170">
        <v>0</v>
      </c>
      <c r="D48" s="170">
        <v>0</v>
      </c>
      <c r="E48" s="170">
        <v>0</v>
      </c>
      <c r="F48" s="170">
        <v>0</v>
      </c>
      <c r="G48" s="170">
        <v>0</v>
      </c>
      <c r="H48" s="170">
        <v>0</v>
      </c>
      <c r="I48" s="170">
        <v>0</v>
      </c>
      <c r="J48" s="170">
        <v>0</v>
      </c>
      <c r="K48" s="170">
        <v>0</v>
      </c>
      <c r="L48" s="170">
        <v>0</v>
      </c>
      <c r="M48" s="170">
        <v>0</v>
      </c>
      <c r="N48" s="170">
        <v>0</v>
      </c>
      <c r="O48" s="170">
        <v>0</v>
      </c>
      <c r="P48" s="170">
        <v>0</v>
      </c>
      <c r="Q48" s="170">
        <v>0</v>
      </c>
      <c r="R48" s="170">
        <v>0</v>
      </c>
      <c r="S48" s="170">
        <v>0</v>
      </c>
      <c r="T48" s="170">
        <v>0</v>
      </c>
      <c r="V48" s="169" t="s">
        <v>151</v>
      </c>
      <c r="W48" s="542">
        <v>0</v>
      </c>
      <c r="X48" s="542">
        <v>0</v>
      </c>
      <c r="Y48" s="542">
        <v>0</v>
      </c>
      <c r="Z48" s="542" t="s">
        <v>1155</v>
      </c>
      <c r="AA48" s="542">
        <v>0</v>
      </c>
      <c r="AB48" s="542">
        <v>0</v>
      </c>
    </row>
    <row r="49" spans="2:28" s="36" customFormat="1" ht="15.6">
      <c r="B49" s="169" t="s">
        <v>91</v>
      </c>
      <c r="C49" s="170">
        <v>949045</v>
      </c>
      <c r="D49" s="170">
        <v>975679</v>
      </c>
      <c r="E49" s="170">
        <v>947480</v>
      </c>
      <c r="F49" s="170">
        <v>949610</v>
      </c>
      <c r="G49" s="170">
        <v>959295</v>
      </c>
      <c r="H49" s="170">
        <v>972773</v>
      </c>
      <c r="I49" s="170">
        <v>968001</v>
      </c>
      <c r="J49" s="170">
        <v>973867</v>
      </c>
      <c r="K49" s="170">
        <v>988013</v>
      </c>
      <c r="L49" s="170">
        <v>1005560</v>
      </c>
      <c r="M49" s="170">
        <v>1003605</v>
      </c>
      <c r="N49" s="170">
        <v>1035417</v>
      </c>
      <c r="O49" s="170">
        <v>1082561</v>
      </c>
      <c r="P49" s="170">
        <v>1115065.613415</v>
      </c>
      <c r="Q49" s="170">
        <v>1119293.703</v>
      </c>
      <c r="R49" s="170">
        <v>1137433.649037</v>
      </c>
      <c r="S49" s="170">
        <v>1137483.2274730001</v>
      </c>
      <c r="T49" s="170">
        <v>1142596.1357730001</v>
      </c>
      <c r="V49" s="169" t="s">
        <v>91</v>
      </c>
      <c r="W49" s="99">
        <v>1125524.3867490001</v>
      </c>
      <c r="X49" s="99">
        <v>1119614.761831</v>
      </c>
      <c r="Y49" s="542">
        <v>1142776.566561</v>
      </c>
      <c r="Z49" s="542">
        <v>1171710</v>
      </c>
      <c r="AA49" s="542">
        <v>1184233.7526690001</v>
      </c>
      <c r="AB49" s="542">
        <v>1208015.624109</v>
      </c>
    </row>
    <row r="50" spans="2:28" s="36" customFormat="1" ht="15.6">
      <c r="B50" s="169" t="s">
        <v>102</v>
      </c>
      <c r="C50" s="170">
        <v>0</v>
      </c>
      <c r="D50" s="170">
        <v>0</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V50" s="169" t="s">
        <v>102</v>
      </c>
      <c r="W50" s="542">
        <v>0</v>
      </c>
      <c r="X50" s="542">
        <v>0</v>
      </c>
      <c r="Y50" s="542">
        <v>0</v>
      </c>
      <c r="Z50" s="542" t="s">
        <v>1155</v>
      </c>
      <c r="AA50" s="542">
        <v>0</v>
      </c>
      <c r="AB50" s="542">
        <v>0</v>
      </c>
    </row>
    <row r="51" spans="2:28" s="36" customFormat="1" ht="15.6">
      <c r="B51" s="169" t="s">
        <v>103</v>
      </c>
      <c r="C51" s="170">
        <v>385</v>
      </c>
      <c r="D51" s="170">
        <v>582</v>
      </c>
      <c r="E51" s="170">
        <v>569</v>
      </c>
      <c r="F51" s="170">
        <v>583</v>
      </c>
      <c r="G51" s="170">
        <v>593</v>
      </c>
      <c r="H51" s="170">
        <v>591</v>
      </c>
      <c r="I51" s="170">
        <v>1471</v>
      </c>
      <c r="J51" s="170">
        <v>554</v>
      </c>
      <c r="K51" s="170">
        <v>538</v>
      </c>
      <c r="L51" s="170">
        <v>227</v>
      </c>
      <c r="M51" s="170">
        <v>206</v>
      </c>
      <c r="N51" s="170">
        <v>181</v>
      </c>
      <c r="O51" s="170">
        <v>168</v>
      </c>
      <c r="P51" s="170">
        <v>151.289412</v>
      </c>
      <c r="Q51" s="170">
        <v>127.19152</v>
      </c>
      <c r="R51" s="170">
        <v>103.09362299999999</v>
      </c>
      <c r="S51" s="170">
        <v>79.039553999999995</v>
      </c>
      <c r="T51" s="170">
        <v>661.40132400000005</v>
      </c>
      <c r="V51" s="169" t="s">
        <v>103</v>
      </c>
      <c r="W51" s="99">
        <v>82.262679000000006</v>
      </c>
      <c r="X51" s="99">
        <v>110.989946</v>
      </c>
      <c r="Y51" s="542">
        <v>95.017482999999999</v>
      </c>
      <c r="Z51" s="542">
        <v>99</v>
      </c>
      <c r="AA51" s="542">
        <v>125.21546600000001</v>
      </c>
      <c r="AB51" s="542">
        <v>174.76941199999999</v>
      </c>
    </row>
    <row r="52" spans="2:28" s="36" customFormat="1" ht="15.6">
      <c r="B52" s="169" t="s">
        <v>104</v>
      </c>
      <c r="C52" s="170">
        <v>0</v>
      </c>
      <c r="D52" s="170">
        <v>0</v>
      </c>
      <c r="E52" s="170">
        <v>0</v>
      </c>
      <c r="F52" s="170">
        <v>0</v>
      </c>
      <c r="G52" s="170">
        <v>0</v>
      </c>
      <c r="H52" s="170">
        <v>0</v>
      </c>
      <c r="I52" s="170">
        <v>0</v>
      </c>
      <c r="J52" s="170">
        <v>0</v>
      </c>
      <c r="K52" s="170">
        <v>0</v>
      </c>
      <c r="L52" s="170">
        <v>0</v>
      </c>
      <c r="M52" s="170">
        <v>0</v>
      </c>
      <c r="N52" s="170">
        <v>0</v>
      </c>
      <c r="O52" s="170">
        <v>0</v>
      </c>
      <c r="P52" s="170">
        <v>0</v>
      </c>
      <c r="Q52" s="170">
        <v>0</v>
      </c>
      <c r="R52" s="170">
        <v>0</v>
      </c>
      <c r="S52" s="170">
        <v>0</v>
      </c>
      <c r="T52" s="170">
        <v>0</v>
      </c>
      <c r="V52" s="169" t="s">
        <v>104</v>
      </c>
      <c r="W52" s="542">
        <v>0</v>
      </c>
      <c r="X52" s="542">
        <v>0</v>
      </c>
      <c r="Y52" s="542">
        <v>0</v>
      </c>
      <c r="Z52" s="542" t="s">
        <v>1155</v>
      </c>
      <c r="AA52" s="542">
        <v>0</v>
      </c>
      <c r="AB52" s="542">
        <v>0</v>
      </c>
    </row>
    <row r="53" spans="2:28" s="36" customFormat="1" ht="15.6">
      <c r="B53" s="169" t="s">
        <v>106</v>
      </c>
      <c r="C53" s="170">
        <v>881</v>
      </c>
      <c r="D53" s="170">
        <v>1064</v>
      </c>
      <c r="E53" s="170">
        <v>1008</v>
      </c>
      <c r="F53" s="170">
        <v>972</v>
      </c>
      <c r="G53" s="170">
        <v>915</v>
      </c>
      <c r="H53" s="170">
        <v>908</v>
      </c>
      <c r="I53" s="170">
        <v>870</v>
      </c>
      <c r="J53" s="170">
        <v>810</v>
      </c>
      <c r="K53" s="170">
        <v>749</v>
      </c>
      <c r="L53" s="170">
        <v>689</v>
      </c>
      <c r="M53" s="170">
        <v>629</v>
      </c>
      <c r="N53" s="170">
        <v>569</v>
      </c>
      <c r="O53" s="170">
        <v>509</v>
      </c>
      <c r="P53" s="170">
        <v>472.66735399999999</v>
      </c>
      <c r="Q53" s="170">
        <v>411.61863399999999</v>
      </c>
      <c r="R53" s="170">
        <v>350.56991699999998</v>
      </c>
      <c r="S53" s="170">
        <v>289.52120200000002</v>
      </c>
      <c r="T53" s="170">
        <v>228.472487</v>
      </c>
      <c r="V53" s="169" t="s">
        <v>106</v>
      </c>
      <c r="W53" s="99">
        <v>167.423768</v>
      </c>
      <c r="X53" s="99">
        <v>106.375046</v>
      </c>
      <c r="Y53" s="542">
        <v>45.326332000000001</v>
      </c>
      <c r="Z53" s="542">
        <v>40</v>
      </c>
      <c r="AA53" s="542">
        <v>35.255249999999997</v>
      </c>
      <c r="AB53" s="542">
        <v>30.900724</v>
      </c>
    </row>
    <row r="54" spans="2:28" s="36" customFormat="1" ht="15.6">
      <c r="B54" s="169" t="s">
        <v>94</v>
      </c>
      <c r="C54" s="170">
        <v>0</v>
      </c>
      <c r="D54" s="170">
        <v>0</v>
      </c>
      <c r="E54" s="170">
        <v>0</v>
      </c>
      <c r="F54" s="170">
        <v>0</v>
      </c>
      <c r="G54" s="170">
        <v>0</v>
      </c>
      <c r="H54" s="170">
        <v>0</v>
      </c>
      <c r="I54" s="170">
        <v>0</v>
      </c>
      <c r="J54" s="170">
        <v>0</v>
      </c>
      <c r="K54" s="170">
        <v>0</v>
      </c>
      <c r="L54" s="170">
        <v>0</v>
      </c>
      <c r="M54" s="170">
        <v>0</v>
      </c>
      <c r="N54" s="170">
        <v>0</v>
      </c>
      <c r="O54" s="170">
        <v>0</v>
      </c>
      <c r="P54" s="170">
        <v>0</v>
      </c>
      <c r="Q54" s="170">
        <v>0</v>
      </c>
      <c r="R54" s="170">
        <v>0</v>
      </c>
      <c r="S54" s="170">
        <v>0</v>
      </c>
      <c r="T54" s="170">
        <v>0</v>
      </c>
      <c r="V54" s="169" t="s">
        <v>94</v>
      </c>
      <c r="W54" s="542">
        <v>0</v>
      </c>
      <c r="X54" s="542">
        <v>0</v>
      </c>
      <c r="Y54" s="542">
        <v>0</v>
      </c>
      <c r="Z54" s="542" t="s">
        <v>1155</v>
      </c>
      <c r="AA54" s="542">
        <v>0</v>
      </c>
      <c r="AB54" s="542">
        <v>0</v>
      </c>
    </row>
    <row r="55" spans="2:28" s="36" customFormat="1" ht="15.6">
      <c r="B55" s="169" t="s">
        <v>107</v>
      </c>
      <c r="C55" s="170">
        <v>0</v>
      </c>
      <c r="D55" s="170">
        <v>0</v>
      </c>
      <c r="E55" s="170">
        <v>0</v>
      </c>
      <c r="F55" s="170">
        <v>0</v>
      </c>
      <c r="G55" s="170">
        <v>0</v>
      </c>
      <c r="H55" s="170">
        <v>0</v>
      </c>
      <c r="I55" s="170">
        <v>0</v>
      </c>
      <c r="J55" s="170">
        <v>0</v>
      </c>
      <c r="K55" s="170">
        <v>0</v>
      </c>
      <c r="L55" s="170">
        <v>0</v>
      </c>
      <c r="M55" s="170">
        <v>0</v>
      </c>
      <c r="N55" s="170">
        <v>0</v>
      </c>
      <c r="O55" s="170">
        <v>91</v>
      </c>
      <c r="P55" s="170">
        <v>0</v>
      </c>
      <c r="Q55" s="170">
        <v>0</v>
      </c>
      <c r="R55" s="170">
        <v>0</v>
      </c>
      <c r="S55" s="170">
        <v>0</v>
      </c>
      <c r="T55" s="170">
        <v>0</v>
      </c>
      <c r="V55" s="169" t="s">
        <v>107</v>
      </c>
      <c r="W55" s="99">
        <v>0</v>
      </c>
      <c r="X55" s="99">
        <v>0</v>
      </c>
      <c r="Y55" s="542">
        <v>0</v>
      </c>
      <c r="Z55" s="542" t="s">
        <v>1155</v>
      </c>
      <c r="AA55" s="542">
        <v>0</v>
      </c>
      <c r="AB55" s="542">
        <v>0</v>
      </c>
    </row>
    <row r="56" spans="2:28" s="36" customFormat="1" ht="15.6">
      <c r="B56" s="169" t="s">
        <v>108</v>
      </c>
      <c r="C56" s="170">
        <v>0</v>
      </c>
      <c r="D56" s="170">
        <v>0</v>
      </c>
      <c r="E56" s="170">
        <v>0</v>
      </c>
      <c r="F56" s="170">
        <v>0</v>
      </c>
      <c r="G56" s="170">
        <v>0</v>
      </c>
      <c r="H56" s="170">
        <v>0</v>
      </c>
      <c r="I56" s="170">
        <v>-17</v>
      </c>
      <c r="J56" s="170">
        <v>1292</v>
      </c>
      <c r="K56" s="170">
        <v>1193</v>
      </c>
      <c r="L56" s="170">
        <v>1292</v>
      </c>
      <c r="M56" s="170">
        <v>1182</v>
      </c>
      <c r="N56" s="170">
        <v>1170</v>
      </c>
      <c r="O56" s="170">
        <v>1081</v>
      </c>
      <c r="P56" s="170">
        <v>1004.190327</v>
      </c>
      <c r="Q56" s="170">
        <v>891.706863</v>
      </c>
      <c r="R56" s="170">
        <v>810.76891599999999</v>
      </c>
      <c r="S56" s="170">
        <v>702.452001</v>
      </c>
      <c r="T56" s="170">
        <v>0</v>
      </c>
      <c r="V56" s="169" t="s">
        <v>108</v>
      </c>
      <c r="W56" s="542">
        <v>486.605594</v>
      </c>
      <c r="X56" s="542">
        <v>386.94254999999998</v>
      </c>
      <c r="Y56" s="542">
        <v>292.61366800000002</v>
      </c>
      <c r="Z56" s="542">
        <v>223</v>
      </c>
      <c r="AA56" s="542">
        <v>154.215102</v>
      </c>
      <c r="AB56" s="542">
        <v>99.990934999999993</v>
      </c>
    </row>
    <row r="57" spans="2:28" s="36" customFormat="1" ht="15.6">
      <c r="B57" s="169" t="s">
        <v>95</v>
      </c>
      <c r="C57" s="170">
        <v>0</v>
      </c>
      <c r="D57" s="170">
        <v>0</v>
      </c>
      <c r="E57" s="170">
        <v>0</v>
      </c>
      <c r="F57" s="170">
        <v>0</v>
      </c>
      <c r="G57" s="170">
        <v>0</v>
      </c>
      <c r="H57" s="170">
        <v>0</v>
      </c>
      <c r="I57" s="170">
        <v>0</v>
      </c>
      <c r="J57" s="170">
        <v>0</v>
      </c>
      <c r="K57" s="170">
        <v>0</v>
      </c>
      <c r="L57" s="170">
        <v>0</v>
      </c>
      <c r="M57" s="170">
        <v>0</v>
      </c>
      <c r="N57" s="170">
        <v>0</v>
      </c>
      <c r="O57" s="170">
        <v>0</v>
      </c>
      <c r="P57" s="170"/>
      <c r="Q57" s="170"/>
      <c r="R57" s="170"/>
      <c r="S57" s="170">
        <v>0</v>
      </c>
      <c r="T57" s="170"/>
      <c r="V57" s="169" t="s">
        <v>95</v>
      </c>
      <c r="W57" s="542"/>
      <c r="X57" s="542">
        <v>0</v>
      </c>
      <c r="Y57" s="542">
        <v>0</v>
      </c>
      <c r="Z57" s="542" t="s">
        <v>1155</v>
      </c>
      <c r="AA57" s="542">
        <v>0</v>
      </c>
      <c r="AB57" s="542">
        <v>0</v>
      </c>
    </row>
    <row r="58" spans="2:28" ht="15">
      <c r="B58" s="167" t="s">
        <v>110</v>
      </c>
      <c r="C58" s="172">
        <f t="shared" ref="C58:N58" si="2">SUM(C45:C57)</f>
        <v>950311</v>
      </c>
      <c r="D58" s="172">
        <f t="shared" si="2"/>
        <v>977325</v>
      </c>
      <c r="E58" s="172">
        <f t="shared" si="2"/>
        <v>949057</v>
      </c>
      <c r="F58" s="172">
        <f t="shared" si="2"/>
        <v>951165</v>
      </c>
      <c r="G58" s="172">
        <f t="shared" si="2"/>
        <v>960803</v>
      </c>
      <c r="H58" s="172">
        <f t="shared" si="2"/>
        <v>974272</v>
      </c>
      <c r="I58" s="172">
        <f t="shared" si="2"/>
        <v>970325</v>
      </c>
      <c r="J58" s="172">
        <f t="shared" si="2"/>
        <v>976523</v>
      </c>
      <c r="K58" s="172">
        <f t="shared" si="2"/>
        <v>990493</v>
      </c>
      <c r="L58" s="172">
        <f t="shared" si="2"/>
        <v>1007768</v>
      </c>
      <c r="M58" s="172">
        <f t="shared" si="2"/>
        <v>1005622</v>
      </c>
      <c r="N58" s="172">
        <f t="shared" si="2"/>
        <v>1037337</v>
      </c>
      <c r="O58" s="172">
        <v>1084410</v>
      </c>
      <c r="P58" s="172">
        <f>SUM(P45:P57)</f>
        <v>1116693.7605080002</v>
      </c>
      <c r="Q58" s="172">
        <f>SUM(Q45:Q57)</f>
        <v>1120724.2200170001</v>
      </c>
      <c r="R58" s="172">
        <v>1138698.0814929998</v>
      </c>
      <c r="S58" s="172">
        <v>1138554.2402300001</v>
      </c>
      <c r="T58" s="172">
        <v>1143486.0095840001</v>
      </c>
      <c r="V58" s="167" t="s">
        <v>110</v>
      </c>
      <c r="W58" s="543">
        <v>1126260.67879</v>
      </c>
      <c r="X58" s="543">
        <v>1120219.0693729999</v>
      </c>
      <c r="Y58" s="543">
        <v>1143209.5240440001</v>
      </c>
      <c r="Z58" s="543">
        <v>1172073</v>
      </c>
      <c r="AA58" s="543">
        <v>1184548.4384869998</v>
      </c>
      <c r="AB58" s="543">
        <v>1208321.2851799999</v>
      </c>
    </row>
    <row r="59" spans="2:28" ht="15">
      <c r="B59" s="121" t="s">
        <v>111</v>
      </c>
      <c r="C59" s="171">
        <f t="shared" ref="C59:N59" si="3">+C43+C58</f>
        <v>1125038</v>
      </c>
      <c r="D59" s="171">
        <f t="shared" si="3"/>
        <v>1166220</v>
      </c>
      <c r="E59" s="171">
        <f t="shared" si="3"/>
        <v>1171726</v>
      </c>
      <c r="F59" s="171">
        <f t="shared" si="3"/>
        <v>1175320</v>
      </c>
      <c r="G59" s="171">
        <f t="shared" si="3"/>
        <v>1197887</v>
      </c>
      <c r="H59" s="171">
        <f t="shared" si="3"/>
        <v>1201511</v>
      </c>
      <c r="I59" s="171">
        <f t="shared" si="3"/>
        <v>1224442</v>
      </c>
      <c r="J59" s="171">
        <f t="shared" si="3"/>
        <v>1372007</v>
      </c>
      <c r="K59" s="171">
        <f t="shared" si="3"/>
        <v>1400756</v>
      </c>
      <c r="L59" s="171">
        <f t="shared" si="3"/>
        <v>1398769</v>
      </c>
      <c r="M59" s="171">
        <f t="shared" si="3"/>
        <v>1370166</v>
      </c>
      <c r="N59" s="171">
        <f t="shared" si="3"/>
        <v>1376322</v>
      </c>
      <c r="O59" s="171">
        <v>1407778</v>
      </c>
      <c r="P59" s="171">
        <f>+P43+P58</f>
        <v>1420036.4479440001</v>
      </c>
      <c r="Q59" s="171">
        <f>+Q43+Q58</f>
        <v>1440577.1820170002</v>
      </c>
      <c r="R59" s="171">
        <v>1451996.1368919997</v>
      </c>
      <c r="S59" s="171">
        <v>1476732.8337190002</v>
      </c>
      <c r="T59" s="171">
        <v>1420661.1487400001</v>
      </c>
      <c r="V59" s="121" t="s">
        <v>111</v>
      </c>
      <c r="W59" s="541">
        <v>1448350.997733</v>
      </c>
      <c r="X59" s="541">
        <v>1465260.221442</v>
      </c>
      <c r="Y59" s="541">
        <v>1530347.8681910001</v>
      </c>
      <c r="Z59" s="541">
        <v>1578084</v>
      </c>
      <c r="AA59" s="541">
        <v>1617496.6211199998</v>
      </c>
      <c r="AB59" s="541">
        <v>1558588.318711</v>
      </c>
    </row>
    <row r="60" spans="2:28" ht="15.6" thickBot="1">
      <c r="B60" s="123"/>
      <c r="C60" s="173"/>
      <c r="D60" s="173"/>
      <c r="E60" s="173"/>
      <c r="F60" s="173"/>
      <c r="G60" s="173"/>
      <c r="H60" s="173"/>
      <c r="I60" s="173"/>
      <c r="J60" s="173"/>
      <c r="K60" s="173"/>
      <c r="L60" s="173"/>
      <c r="M60" s="173"/>
      <c r="N60" s="173"/>
      <c r="O60" s="173"/>
      <c r="V60" s="123"/>
      <c r="W60" s="535"/>
      <c r="X60" s="535"/>
    </row>
    <row r="61" spans="2:28" ht="15">
      <c r="B61" s="174" t="s">
        <v>112</v>
      </c>
      <c r="C61" s="166"/>
      <c r="D61" s="166"/>
      <c r="E61" s="166"/>
      <c r="F61" s="166"/>
      <c r="G61" s="166"/>
      <c r="H61" s="166"/>
      <c r="I61" s="166"/>
      <c r="J61" s="166"/>
      <c r="K61" s="166"/>
      <c r="L61" s="166"/>
      <c r="M61" s="166"/>
      <c r="N61" s="166"/>
      <c r="O61" s="166"/>
      <c r="P61" s="166"/>
      <c r="Q61" s="166"/>
      <c r="R61" s="166"/>
      <c r="S61" s="166"/>
      <c r="T61" s="166"/>
      <c r="V61" s="174" t="s">
        <v>112</v>
      </c>
      <c r="W61" s="537"/>
      <c r="X61" s="537"/>
      <c r="Y61" s="537"/>
      <c r="Z61" s="537"/>
      <c r="AA61" s="537"/>
      <c r="AB61" s="537"/>
    </row>
    <row r="62" spans="2:28" ht="15.6" thickBot="1">
      <c r="B62" s="167" t="s">
        <v>113</v>
      </c>
      <c r="C62" s="116"/>
      <c r="D62" s="116"/>
      <c r="E62" s="116"/>
      <c r="F62" s="116"/>
      <c r="G62" s="116"/>
      <c r="H62" s="116"/>
      <c r="I62" s="116"/>
      <c r="J62" s="116"/>
      <c r="K62" s="116"/>
      <c r="L62" s="116"/>
      <c r="M62" s="116"/>
      <c r="N62" s="116"/>
      <c r="O62" s="116"/>
      <c r="P62" s="116"/>
      <c r="Q62" s="116"/>
      <c r="R62" s="116"/>
      <c r="S62" s="116"/>
      <c r="T62" s="116"/>
      <c r="V62" s="167" t="s">
        <v>113</v>
      </c>
      <c r="W62" s="538"/>
      <c r="X62" s="538"/>
      <c r="Y62" s="85"/>
      <c r="Z62" s="85"/>
      <c r="AA62" s="85"/>
      <c r="AB62" s="85"/>
    </row>
    <row r="63" spans="2:28" s="36" customFormat="1" ht="15.6">
      <c r="B63" s="169" t="s">
        <v>114</v>
      </c>
      <c r="C63" s="170">
        <v>56294</v>
      </c>
      <c r="D63" s="170">
        <v>48260</v>
      </c>
      <c r="E63" s="170">
        <v>39776</v>
      </c>
      <c r="F63" s="170">
        <v>34831</v>
      </c>
      <c r="G63" s="170">
        <v>45192</v>
      </c>
      <c r="H63" s="170">
        <v>71718</v>
      </c>
      <c r="I63" s="170">
        <v>58956</v>
      </c>
      <c r="J63" s="170">
        <v>33815</v>
      </c>
      <c r="K63" s="170">
        <v>45990</v>
      </c>
      <c r="L63" s="170">
        <v>55333</v>
      </c>
      <c r="M63" s="170">
        <v>50226</v>
      </c>
      <c r="N63" s="170">
        <v>39903</v>
      </c>
      <c r="O63" s="170">
        <v>47256</v>
      </c>
      <c r="P63" s="170">
        <v>35318.455847999998</v>
      </c>
      <c r="Q63" s="170">
        <v>43320.639578000002</v>
      </c>
      <c r="R63" s="170">
        <v>32110.072753</v>
      </c>
      <c r="S63" s="170">
        <v>43219.475380000003</v>
      </c>
      <c r="T63" s="170">
        <v>27384.360008000003</v>
      </c>
      <c r="V63" s="169" t="s">
        <v>114</v>
      </c>
      <c r="W63" s="542">
        <v>57728.033616000001</v>
      </c>
      <c r="X63" s="542">
        <v>104592.081036</v>
      </c>
      <c r="Y63" s="542">
        <v>107798.91059100001</v>
      </c>
      <c r="Z63" s="542">
        <v>109852</v>
      </c>
      <c r="AA63" s="542">
        <v>110755.019145</v>
      </c>
      <c r="AB63" s="542">
        <v>112355.224675</v>
      </c>
    </row>
    <row r="64" spans="2:28" s="36" customFormat="1" ht="15.6">
      <c r="B64" s="169" t="s">
        <v>115</v>
      </c>
      <c r="C64" s="170">
        <v>8692</v>
      </c>
      <c r="D64" s="170">
        <v>4638</v>
      </c>
      <c r="E64" s="170">
        <v>19863</v>
      </c>
      <c r="F64" s="170">
        <v>22688</v>
      </c>
      <c r="G64" s="170">
        <v>20923</v>
      </c>
      <c r="H64" s="170">
        <v>5349</v>
      </c>
      <c r="I64" s="170">
        <v>21520</v>
      </c>
      <c r="J64" s="170">
        <v>21740</v>
      </c>
      <c r="K64" s="170">
        <v>23163</v>
      </c>
      <c r="L64" s="170">
        <v>10043</v>
      </c>
      <c r="M64" s="170">
        <v>30342</v>
      </c>
      <c r="N64" s="170">
        <v>28901</v>
      </c>
      <c r="O64" s="170">
        <v>30819</v>
      </c>
      <c r="P64" s="170">
        <v>38663.811324000002</v>
      </c>
      <c r="Q64" s="170">
        <f>33510.959359-36.210137</f>
        <v>33474.749221999999</v>
      </c>
      <c r="R64" s="170">
        <v>33473.091207999998</v>
      </c>
      <c r="S64" s="170">
        <v>32845.959670999997</v>
      </c>
      <c r="T64" s="170">
        <v>33957.303997000003</v>
      </c>
      <c r="V64" s="169" t="s">
        <v>115</v>
      </c>
      <c r="W64" s="542">
        <v>9215.9828880000005</v>
      </c>
      <c r="X64" s="542">
        <v>12080.057290000001</v>
      </c>
      <c r="Y64" s="542">
        <v>11070.260983</v>
      </c>
      <c r="Z64" s="542">
        <v>13414</v>
      </c>
      <c r="AA64" s="542">
        <v>7645.1062320000001</v>
      </c>
      <c r="AB64" s="542">
        <v>5305.503549</v>
      </c>
    </row>
    <row r="65" spans="2:28" s="36" customFormat="1" ht="15.6">
      <c r="B65" s="169" t="s">
        <v>117</v>
      </c>
      <c r="C65" s="170">
        <v>0</v>
      </c>
      <c r="D65" s="170">
        <v>0</v>
      </c>
      <c r="E65" s="170">
        <v>163</v>
      </c>
      <c r="F65" s="170">
        <v>180</v>
      </c>
      <c r="G65" s="170">
        <v>162</v>
      </c>
      <c r="H65" s="170">
        <v>0</v>
      </c>
      <c r="I65" s="170">
        <v>167</v>
      </c>
      <c r="J65" s="170">
        <v>190</v>
      </c>
      <c r="K65" s="170">
        <v>211</v>
      </c>
      <c r="L65" s="170">
        <v>0</v>
      </c>
      <c r="M65" s="170">
        <v>191</v>
      </c>
      <c r="N65" s="170">
        <v>230</v>
      </c>
      <c r="O65" s="170">
        <v>266</v>
      </c>
      <c r="P65" s="170">
        <v>277.297101</v>
      </c>
      <c r="Q65" s="170">
        <v>213.516063</v>
      </c>
      <c r="R65" s="170">
        <v>243.48038600000001</v>
      </c>
      <c r="S65" s="170">
        <v>243.48038600000001</v>
      </c>
      <c r="T65" s="170">
        <v>240.27998099999999</v>
      </c>
      <c r="V65" s="169" t="s">
        <v>117</v>
      </c>
      <c r="W65" s="542">
        <v>204.18880999999999</v>
      </c>
      <c r="X65" s="542">
        <v>230.35429400000001</v>
      </c>
      <c r="Y65" s="542">
        <v>251.46682000000001</v>
      </c>
      <c r="Z65" s="542">
        <v>279</v>
      </c>
      <c r="AA65" s="542">
        <v>246.52701500000001</v>
      </c>
      <c r="AB65" s="542">
        <v>267.70755800000001</v>
      </c>
    </row>
    <row r="66" spans="2:28" s="36" customFormat="1" ht="15.6">
      <c r="B66" s="169" t="s">
        <v>92</v>
      </c>
      <c r="C66" s="170">
        <v>0</v>
      </c>
      <c r="D66" s="170">
        <v>1442</v>
      </c>
      <c r="E66" s="170">
        <v>1968</v>
      </c>
      <c r="F66" s="170">
        <v>1875</v>
      </c>
      <c r="G66" s="170">
        <v>1598</v>
      </c>
      <c r="H66" s="170">
        <v>1618</v>
      </c>
      <c r="I66" s="170">
        <v>1771</v>
      </c>
      <c r="J66" s="170">
        <v>1806</v>
      </c>
      <c r="K66" s="170">
        <v>6851</v>
      </c>
      <c r="L66" s="170">
        <v>0</v>
      </c>
      <c r="M66" s="170">
        <v>2505</v>
      </c>
      <c r="N66" s="170">
        <v>1137</v>
      </c>
      <c r="O66" s="170">
        <v>1240</v>
      </c>
      <c r="P66" s="170">
        <v>998.79442900000004</v>
      </c>
      <c r="Q66" s="170">
        <v>2101.3967630000002</v>
      </c>
      <c r="R66" s="170">
        <v>1820.3525979999999</v>
      </c>
      <c r="S66" s="170">
        <v>2076.0057630000001</v>
      </c>
      <c r="T66" s="170">
        <v>2272.4342660000002</v>
      </c>
      <c r="V66" s="169" t="s">
        <v>92</v>
      </c>
      <c r="W66" s="542">
        <v>2629.2194720000002</v>
      </c>
      <c r="X66" s="542">
        <v>2308.777059</v>
      </c>
      <c r="Y66" s="542">
        <v>2155.9752159999998</v>
      </c>
      <c r="Z66" s="542">
        <v>1208</v>
      </c>
      <c r="AA66" s="542">
        <v>2637.5795280000002</v>
      </c>
      <c r="AB66" s="542">
        <v>2186.7857140000001</v>
      </c>
    </row>
    <row r="67" spans="2:28" s="36" customFormat="1" ht="15.6">
      <c r="B67" s="169" t="s">
        <v>118</v>
      </c>
      <c r="C67" s="170">
        <v>0</v>
      </c>
      <c r="D67" s="170">
        <v>0</v>
      </c>
      <c r="E67" s="170">
        <v>0</v>
      </c>
      <c r="F67" s="170">
        <v>0</v>
      </c>
      <c r="G67" s="170">
        <v>922</v>
      </c>
      <c r="H67" s="170">
        <v>0</v>
      </c>
      <c r="I67" s="170">
        <v>694</v>
      </c>
      <c r="J67" s="170">
        <v>2975</v>
      </c>
      <c r="K67" s="170">
        <v>2947</v>
      </c>
      <c r="L67" s="170">
        <v>7007</v>
      </c>
      <c r="M67" s="170">
        <v>6071</v>
      </c>
      <c r="N67" s="170">
        <v>8092</v>
      </c>
      <c r="O67" s="170">
        <v>8095</v>
      </c>
      <c r="P67" s="170">
        <v>11436.014999999999</v>
      </c>
      <c r="Q67" s="170">
        <v>11351.347</v>
      </c>
      <c r="R67" s="170">
        <v>13647.532169</v>
      </c>
      <c r="S67" s="170">
        <v>15355.741</v>
      </c>
      <c r="T67" s="170">
        <v>12111.029498</v>
      </c>
      <c r="V67" s="169" t="s">
        <v>118</v>
      </c>
      <c r="W67" s="542">
        <v>12408.512487</v>
      </c>
      <c r="X67" s="542">
        <v>12501.872487000001</v>
      </c>
      <c r="Y67" s="542">
        <v>12600.840602</v>
      </c>
      <c r="Z67" s="542">
        <v>13557</v>
      </c>
      <c r="AA67" s="542">
        <v>13512.211149999999</v>
      </c>
      <c r="AB67" s="542">
        <v>13512.468150000001</v>
      </c>
    </row>
    <row r="68" spans="2:28" s="36" customFormat="1" ht="15.6">
      <c r="B68" s="169" t="s">
        <v>116</v>
      </c>
      <c r="C68" s="170">
        <v>1292</v>
      </c>
      <c r="D68" s="170">
        <v>1120</v>
      </c>
      <c r="E68" s="170">
        <v>414</v>
      </c>
      <c r="F68" s="170">
        <v>739</v>
      </c>
      <c r="G68" s="170">
        <v>812</v>
      </c>
      <c r="H68" s="170">
        <v>1117</v>
      </c>
      <c r="I68" s="170">
        <v>550</v>
      </c>
      <c r="J68" s="170">
        <v>733</v>
      </c>
      <c r="K68" s="170">
        <v>1023</v>
      </c>
      <c r="L68" s="170">
        <v>1357</v>
      </c>
      <c r="M68" s="170">
        <v>481</v>
      </c>
      <c r="N68" s="170">
        <v>783</v>
      </c>
      <c r="O68" s="170">
        <v>836</v>
      </c>
      <c r="P68" s="170">
        <v>1163.2058919999999</v>
      </c>
      <c r="Q68" s="170">
        <v>473.45042699999999</v>
      </c>
      <c r="R68" s="170">
        <v>776.28130199999998</v>
      </c>
      <c r="S68" s="170">
        <v>880.65506900000003</v>
      </c>
      <c r="T68" s="170">
        <v>1276.1774789999999</v>
      </c>
      <c r="V68" s="169" t="s">
        <v>116</v>
      </c>
      <c r="W68" s="542">
        <v>526.46674599999994</v>
      </c>
      <c r="X68" s="542">
        <v>890.48920199999998</v>
      </c>
      <c r="Y68" s="542">
        <v>969.11360400000001</v>
      </c>
      <c r="Z68" s="542">
        <v>1356</v>
      </c>
      <c r="AA68" s="542">
        <v>631.11204099999998</v>
      </c>
      <c r="AB68" s="542">
        <v>823.65415499999995</v>
      </c>
    </row>
    <row r="69" spans="2:28" s="36" customFormat="1" ht="15.6">
      <c r="B69" s="169" t="s">
        <v>119</v>
      </c>
      <c r="C69" s="170">
        <v>2838</v>
      </c>
      <c r="D69" s="170">
        <v>2</v>
      </c>
      <c r="E69" s="170">
        <v>0</v>
      </c>
      <c r="F69" s="170">
        <v>0</v>
      </c>
      <c r="G69" s="170">
        <v>0</v>
      </c>
      <c r="H69" s="170">
        <v>1</v>
      </c>
      <c r="I69" s="170">
        <v>0</v>
      </c>
      <c r="J69" s="170">
        <v>0</v>
      </c>
      <c r="K69" s="170">
        <v>0</v>
      </c>
      <c r="L69" s="170">
        <v>0</v>
      </c>
      <c r="M69" s="170">
        <v>0</v>
      </c>
      <c r="N69" s="170">
        <v>243</v>
      </c>
      <c r="O69" s="170">
        <v>254</v>
      </c>
      <c r="P69" s="170">
        <v>294.09186399999999</v>
      </c>
      <c r="Q69" s="170">
        <v>317.47848099999999</v>
      </c>
      <c r="R69" s="170">
        <v>364.50745000000001</v>
      </c>
      <c r="S69" s="170">
        <v>441.14176300000003</v>
      </c>
      <c r="T69" s="170">
        <v>420.423698</v>
      </c>
      <c r="V69" s="169" t="s">
        <v>119</v>
      </c>
      <c r="W69" s="542">
        <v>6110.1125659999998</v>
      </c>
      <c r="X69" s="542">
        <v>504.57328899999999</v>
      </c>
      <c r="Y69" s="542">
        <v>2350.0848839999999</v>
      </c>
      <c r="Z69" s="542">
        <v>698</v>
      </c>
      <c r="AA69" s="542">
        <v>709.73593100000005</v>
      </c>
      <c r="AB69" s="542">
        <v>780.57481700000005</v>
      </c>
    </row>
    <row r="70" spans="2:28" s="36" customFormat="1" ht="15.6">
      <c r="B70" s="169" t="s">
        <v>152</v>
      </c>
      <c r="C70" s="170">
        <v>0</v>
      </c>
      <c r="D70" s="170">
        <v>0</v>
      </c>
      <c r="E70" s="170">
        <v>0</v>
      </c>
      <c r="F70" s="170">
        <v>0</v>
      </c>
      <c r="G70" s="170">
        <v>0</v>
      </c>
      <c r="H70" s="170">
        <v>0</v>
      </c>
      <c r="I70" s="170">
        <v>0</v>
      </c>
      <c r="J70" s="170">
        <v>0</v>
      </c>
      <c r="K70" s="170">
        <v>0</v>
      </c>
      <c r="L70" s="170">
        <v>0</v>
      </c>
      <c r="M70" s="170">
        <v>0</v>
      </c>
      <c r="N70" s="170">
        <v>0</v>
      </c>
      <c r="O70" s="170">
        <v>0</v>
      </c>
      <c r="P70" s="170">
        <v>0</v>
      </c>
      <c r="Q70" s="170">
        <v>0</v>
      </c>
      <c r="R70" s="170">
        <v>0</v>
      </c>
      <c r="S70" s="170">
        <v>0</v>
      </c>
      <c r="T70" s="170">
        <v>0</v>
      </c>
      <c r="V70" s="169" t="s">
        <v>152</v>
      </c>
      <c r="W70" s="542"/>
      <c r="X70" s="542">
        <v>0</v>
      </c>
      <c r="Y70" s="542">
        <v>0</v>
      </c>
      <c r="Z70" s="542" t="s">
        <v>1155</v>
      </c>
      <c r="AA70" s="542">
        <v>0</v>
      </c>
      <c r="AB70" s="542">
        <v>0</v>
      </c>
    </row>
    <row r="71" spans="2:28" ht="15">
      <c r="B71" s="167" t="s">
        <v>121</v>
      </c>
      <c r="C71" s="172">
        <f t="shared" ref="C71:N71" si="4">SUM(C63:C70)</f>
        <v>69116</v>
      </c>
      <c r="D71" s="172">
        <f t="shared" si="4"/>
        <v>55462</v>
      </c>
      <c r="E71" s="172">
        <f t="shared" si="4"/>
        <v>62184</v>
      </c>
      <c r="F71" s="172">
        <f t="shared" si="4"/>
        <v>60313</v>
      </c>
      <c r="G71" s="172">
        <f t="shared" si="4"/>
        <v>69609</v>
      </c>
      <c r="H71" s="172">
        <f t="shared" si="4"/>
        <v>79803</v>
      </c>
      <c r="I71" s="172">
        <f t="shared" si="4"/>
        <v>83658</v>
      </c>
      <c r="J71" s="172">
        <f t="shared" si="4"/>
        <v>61259</v>
      </c>
      <c r="K71" s="172">
        <f t="shared" si="4"/>
        <v>80185</v>
      </c>
      <c r="L71" s="172">
        <f t="shared" si="4"/>
        <v>73740</v>
      </c>
      <c r="M71" s="172">
        <f t="shared" si="4"/>
        <v>89816</v>
      </c>
      <c r="N71" s="172">
        <f t="shared" si="4"/>
        <v>79289</v>
      </c>
      <c r="O71" s="172">
        <v>88766</v>
      </c>
      <c r="P71" s="172">
        <f>SUM(P63:P70)</f>
        <v>88151.671457999997</v>
      </c>
      <c r="Q71" s="172">
        <f>SUM(Q63:Q70)</f>
        <v>91252.577533999996</v>
      </c>
      <c r="R71" s="172">
        <v>82435.317865999998</v>
      </c>
      <c r="S71" s="172">
        <v>95062.459031999999</v>
      </c>
      <c r="T71" s="172">
        <v>77662.008927000017</v>
      </c>
      <c r="V71" s="167" t="s">
        <v>121</v>
      </c>
      <c r="W71" s="543">
        <v>88822.516585000005</v>
      </c>
      <c r="X71" s="543">
        <v>133108.20465699999</v>
      </c>
      <c r="Y71" s="543">
        <v>137196.65270000004</v>
      </c>
      <c r="Z71" s="543">
        <v>140365</v>
      </c>
      <c r="AA71" s="543">
        <v>136137.291042</v>
      </c>
      <c r="AB71" s="543">
        <v>135231.91861799997</v>
      </c>
    </row>
    <row r="72" spans="2:28" ht="15">
      <c r="B72" s="177" t="s">
        <v>122</v>
      </c>
      <c r="C72" s="178"/>
      <c r="D72" s="178"/>
      <c r="E72" s="178"/>
      <c r="F72" s="178"/>
      <c r="G72" s="178"/>
      <c r="H72" s="178"/>
      <c r="I72" s="178"/>
      <c r="J72" s="178"/>
      <c r="K72" s="178"/>
      <c r="L72" s="178"/>
      <c r="M72" s="178"/>
      <c r="N72" s="178"/>
      <c r="O72" s="178"/>
      <c r="P72" s="178"/>
      <c r="Q72" s="178"/>
      <c r="R72" s="178"/>
      <c r="S72" s="178"/>
      <c r="T72" s="178"/>
      <c r="V72" s="177" t="s">
        <v>122</v>
      </c>
      <c r="W72" s="544"/>
      <c r="X72" s="544"/>
      <c r="Y72" s="544"/>
      <c r="Z72" s="544"/>
      <c r="AA72" s="544"/>
      <c r="AB72" s="544"/>
    </row>
    <row r="73" spans="2:28" s="36" customFormat="1" ht="15.6">
      <c r="B73" s="169" t="s">
        <v>114</v>
      </c>
      <c r="C73" s="170">
        <v>496863</v>
      </c>
      <c r="D73" s="170">
        <v>493406</v>
      </c>
      <c r="E73" s="170">
        <v>497438</v>
      </c>
      <c r="F73" s="170">
        <v>487255</v>
      </c>
      <c r="G73" s="170">
        <v>495094</v>
      </c>
      <c r="H73" s="170">
        <v>619671</v>
      </c>
      <c r="I73" s="170">
        <v>474172</v>
      </c>
      <c r="J73" s="170">
        <v>626883</v>
      </c>
      <c r="K73" s="170">
        <v>627450</v>
      </c>
      <c r="L73" s="170">
        <v>765038</v>
      </c>
      <c r="M73" s="170">
        <v>608941</v>
      </c>
      <c r="N73" s="170">
        <v>605645</v>
      </c>
      <c r="O73" s="170">
        <v>610885</v>
      </c>
      <c r="P73" s="170">
        <v>605149.71300999995</v>
      </c>
      <c r="Q73" s="170">
        <v>611367.66704900004</v>
      </c>
      <c r="R73" s="170">
        <v>611836.56228900002</v>
      </c>
      <c r="S73" s="170">
        <v>616334.07324499998</v>
      </c>
      <c r="T73" s="170">
        <v>619998.59155200003</v>
      </c>
      <c r="V73" s="169" t="s">
        <v>114</v>
      </c>
      <c r="W73" s="542">
        <v>810872.78162300005</v>
      </c>
      <c r="X73" s="542">
        <v>793060.90998999996</v>
      </c>
      <c r="Y73" s="542">
        <v>815594.90945699997</v>
      </c>
      <c r="Z73" s="542">
        <v>826537</v>
      </c>
      <c r="AA73" s="542">
        <v>842602.75780999998</v>
      </c>
      <c r="AB73" s="542">
        <v>785198.38626900001</v>
      </c>
    </row>
    <row r="74" spans="2:28" s="36" customFormat="1" ht="15.6">
      <c r="B74" s="169" t="s">
        <v>115</v>
      </c>
      <c r="C74" s="170">
        <v>161074</v>
      </c>
      <c r="D74" s="170">
        <v>164349</v>
      </c>
      <c r="E74" s="170">
        <v>148174</v>
      </c>
      <c r="F74" s="170">
        <v>152929</v>
      </c>
      <c r="G74" s="170">
        <v>149009</v>
      </c>
      <c r="H74" s="170">
        <v>0</v>
      </c>
      <c r="I74" s="170">
        <v>149735</v>
      </c>
      <c r="J74" s="170">
        <v>157749</v>
      </c>
      <c r="K74" s="170">
        <v>149073</v>
      </c>
      <c r="L74" s="170">
        <v>903</v>
      </c>
      <c r="M74" s="170">
        <v>149509</v>
      </c>
      <c r="N74" s="170">
        <v>159598</v>
      </c>
      <c r="O74" s="170">
        <v>156384</v>
      </c>
      <c r="P74" s="170">
        <v>169595.62221900001</v>
      </c>
      <c r="Q74" s="170">
        <v>167875.36014899999</v>
      </c>
      <c r="R74" s="170">
        <v>173715.642448</v>
      </c>
      <c r="S74" s="170">
        <v>169075.533807</v>
      </c>
      <c r="T74" s="170">
        <v>178394.27674299999</v>
      </c>
      <c r="V74" s="169" t="s">
        <v>115</v>
      </c>
      <c r="W74" s="542">
        <v>166.016572</v>
      </c>
      <c r="X74" s="542">
        <v>122.22329000000001</v>
      </c>
      <c r="Y74" s="542">
        <v>92.554438000000005</v>
      </c>
      <c r="Z74" s="542">
        <v>65</v>
      </c>
      <c r="AA74" s="542">
        <v>52.058083000000003</v>
      </c>
      <c r="AB74" s="542">
        <v>33.210220999999997</v>
      </c>
    </row>
    <row r="75" spans="2:28" s="36" customFormat="1" ht="15.6">
      <c r="B75" s="169" t="s">
        <v>123</v>
      </c>
      <c r="C75" s="170">
        <v>0</v>
      </c>
      <c r="D75" s="170">
        <v>0</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V75" s="169" t="s">
        <v>123</v>
      </c>
      <c r="W75" s="542">
        <v>0</v>
      </c>
      <c r="X75" s="542">
        <v>0</v>
      </c>
      <c r="Y75" s="542">
        <v>0</v>
      </c>
      <c r="Z75" s="542" t="s">
        <v>1155</v>
      </c>
      <c r="AA75" s="542">
        <v>0</v>
      </c>
      <c r="AB75" s="542">
        <v>0</v>
      </c>
    </row>
    <row r="76" spans="2:28" s="36" customFormat="1" ht="15.6">
      <c r="B76" s="169" t="s">
        <v>117</v>
      </c>
      <c r="C76" s="170">
        <v>0</v>
      </c>
      <c r="D76" s="170">
        <v>0</v>
      </c>
      <c r="E76" s="170">
        <v>0</v>
      </c>
      <c r="F76" s="170">
        <v>0</v>
      </c>
      <c r="G76" s="170">
        <v>0</v>
      </c>
      <c r="H76" s="170">
        <v>0</v>
      </c>
      <c r="I76" s="170">
        <v>0</v>
      </c>
      <c r="J76" s="170">
        <v>0</v>
      </c>
      <c r="K76" s="170">
        <v>0</v>
      </c>
      <c r="L76" s="170">
        <v>0</v>
      </c>
      <c r="M76" s="170">
        <v>0</v>
      </c>
      <c r="N76" s="170">
        <v>0</v>
      </c>
      <c r="O76" s="170">
        <v>0</v>
      </c>
      <c r="P76" s="170">
        <v>0</v>
      </c>
      <c r="Q76" s="170">
        <v>0</v>
      </c>
      <c r="R76" s="170">
        <v>0</v>
      </c>
      <c r="S76" s="170">
        <v>0</v>
      </c>
      <c r="T76" s="170">
        <v>0</v>
      </c>
      <c r="V76" s="169" t="s">
        <v>117</v>
      </c>
      <c r="W76" s="542">
        <v>0</v>
      </c>
      <c r="X76" s="542">
        <v>0</v>
      </c>
      <c r="Y76" s="542">
        <v>0</v>
      </c>
      <c r="Z76" s="542" t="s">
        <v>1155</v>
      </c>
      <c r="AA76" s="542">
        <v>0</v>
      </c>
      <c r="AB76" s="542">
        <v>0</v>
      </c>
    </row>
    <row r="77" spans="2:28" s="36" customFormat="1" ht="15.6">
      <c r="B77" s="169" t="s">
        <v>118</v>
      </c>
      <c r="C77" s="170">
        <v>0</v>
      </c>
      <c r="D77" s="170">
        <v>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V77" s="169" t="s">
        <v>118</v>
      </c>
      <c r="W77" s="542">
        <v>0</v>
      </c>
      <c r="X77" s="542">
        <v>0</v>
      </c>
      <c r="Y77" s="542">
        <v>0</v>
      </c>
      <c r="Z77" s="542" t="s">
        <v>1155</v>
      </c>
      <c r="AA77" s="542">
        <v>0</v>
      </c>
      <c r="AB77" s="542">
        <v>0</v>
      </c>
    </row>
    <row r="78" spans="2:28" s="36" customFormat="1" ht="15.6">
      <c r="B78" s="169" t="s">
        <v>119</v>
      </c>
      <c r="C78" s="170">
        <v>0</v>
      </c>
      <c r="D78" s="170">
        <v>0</v>
      </c>
      <c r="E78" s="170">
        <v>0</v>
      </c>
      <c r="F78" s="170">
        <v>0</v>
      </c>
      <c r="G78" s="170">
        <v>0</v>
      </c>
      <c r="H78" s="170">
        <v>0</v>
      </c>
      <c r="I78" s="170">
        <v>0</v>
      </c>
      <c r="J78" s="170">
        <v>0</v>
      </c>
      <c r="K78" s="170">
        <v>0</v>
      </c>
      <c r="L78" s="170">
        <v>0</v>
      </c>
      <c r="M78" s="170">
        <v>0</v>
      </c>
      <c r="N78" s="170">
        <v>0</v>
      </c>
      <c r="O78" s="170">
        <v>0</v>
      </c>
      <c r="P78" s="170">
        <v>0</v>
      </c>
      <c r="Q78" s="170">
        <v>0</v>
      </c>
      <c r="R78" s="170">
        <v>0</v>
      </c>
      <c r="S78" s="170">
        <v>0</v>
      </c>
      <c r="T78" s="170">
        <v>0</v>
      </c>
      <c r="V78" s="169" t="s">
        <v>119</v>
      </c>
      <c r="W78" s="542">
        <v>0</v>
      </c>
      <c r="X78" s="542">
        <v>0</v>
      </c>
      <c r="Y78" s="542">
        <v>0</v>
      </c>
      <c r="Z78" s="542" t="s">
        <v>1155</v>
      </c>
      <c r="AA78" s="542">
        <v>0</v>
      </c>
      <c r="AB78" s="542">
        <v>0</v>
      </c>
    </row>
    <row r="79" spans="2:28" s="36" customFormat="1" ht="15.6">
      <c r="B79" s="169" t="s">
        <v>153</v>
      </c>
      <c r="C79" s="170">
        <v>72183</v>
      </c>
      <c r="D79" s="170">
        <v>84171</v>
      </c>
      <c r="E79" s="170">
        <v>86079</v>
      </c>
      <c r="F79" s="170">
        <v>87753</v>
      </c>
      <c r="G79" s="170">
        <v>89323</v>
      </c>
      <c r="H79" s="170">
        <v>89746</v>
      </c>
      <c r="I79" s="170">
        <v>93777</v>
      </c>
      <c r="J79" s="170">
        <v>94007</v>
      </c>
      <c r="K79" s="170">
        <v>98062</v>
      </c>
      <c r="L79" s="170">
        <v>100617</v>
      </c>
      <c r="M79" s="170">
        <v>102471</v>
      </c>
      <c r="N79" s="170">
        <v>104655</v>
      </c>
      <c r="O79" s="170">
        <v>109979</v>
      </c>
      <c r="P79" s="170">
        <v>109616.095346</v>
      </c>
      <c r="Q79" s="170">
        <v>111117.06804699999</v>
      </c>
      <c r="R79" s="170">
        <v>113124.88226499999</v>
      </c>
      <c r="S79" s="170">
        <v>115640.40788100001</v>
      </c>
      <c r="T79" s="170">
        <v>110045.521048</v>
      </c>
      <c r="V79" s="169" t="s">
        <v>153</v>
      </c>
      <c r="W79" s="542">
        <v>110900.750611</v>
      </c>
      <c r="X79" s="542">
        <v>98245.723693000007</v>
      </c>
      <c r="Y79" s="542">
        <v>102473.684418</v>
      </c>
      <c r="Z79" s="542">
        <v>107375</v>
      </c>
      <c r="AA79" s="542">
        <v>113032.533305</v>
      </c>
      <c r="AB79" s="542">
        <v>117865.220489</v>
      </c>
    </row>
    <row r="80" spans="2:28" ht="15">
      <c r="B80" s="167" t="s">
        <v>124</v>
      </c>
      <c r="C80" s="172">
        <f t="shared" ref="C80:N80" si="5">SUM(C73:C79)</f>
        <v>730120</v>
      </c>
      <c r="D80" s="172">
        <f t="shared" si="5"/>
        <v>741926</v>
      </c>
      <c r="E80" s="172">
        <f t="shared" si="5"/>
        <v>731691</v>
      </c>
      <c r="F80" s="172">
        <f t="shared" si="5"/>
        <v>727937</v>
      </c>
      <c r="G80" s="172">
        <f t="shared" si="5"/>
        <v>733426</v>
      </c>
      <c r="H80" s="172">
        <f t="shared" si="5"/>
        <v>709417</v>
      </c>
      <c r="I80" s="172">
        <f t="shared" si="5"/>
        <v>717684</v>
      </c>
      <c r="J80" s="172">
        <f t="shared" si="5"/>
        <v>878639</v>
      </c>
      <c r="K80" s="172">
        <f t="shared" si="5"/>
        <v>874585</v>
      </c>
      <c r="L80" s="172">
        <f t="shared" si="5"/>
        <v>866558</v>
      </c>
      <c r="M80" s="172">
        <f t="shared" si="5"/>
        <v>860921</v>
      </c>
      <c r="N80" s="172">
        <f t="shared" si="5"/>
        <v>869898</v>
      </c>
      <c r="O80" s="172">
        <v>877248</v>
      </c>
      <c r="P80" s="172">
        <f>SUM(P73:P79)</f>
        <v>884361.43057500001</v>
      </c>
      <c r="Q80" s="172">
        <f>SUM(Q73:Q79)</f>
        <v>890360.09524499997</v>
      </c>
      <c r="R80" s="172">
        <v>898677.08700200007</v>
      </c>
      <c r="S80" s="172">
        <v>901050.01493299997</v>
      </c>
      <c r="T80" s="172">
        <v>908438.38934300002</v>
      </c>
      <c r="V80" s="167" t="s">
        <v>124</v>
      </c>
      <c r="W80" s="543">
        <v>921939.54880600004</v>
      </c>
      <c r="X80" s="543">
        <v>891428.85697299999</v>
      </c>
      <c r="Y80" s="543">
        <v>918161.14831299998</v>
      </c>
      <c r="Z80" s="543">
        <v>933976</v>
      </c>
      <c r="AA80" s="543">
        <v>955687.34919800004</v>
      </c>
      <c r="AB80" s="543">
        <v>903096.816979</v>
      </c>
    </row>
    <row r="81" spans="2:28" ht="15">
      <c r="B81" s="121" t="s">
        <v>125</v>
      </c>
      <c r="C81" s="171">
        <f t="shared" ref="C81:N81" si="6">+C71+C80</f>
        <v>799236</v>
      </c>
      <c r="D81" s="171">
        <f t="shared" si="6"/>
        <v>797388</v>
      </c>
      <c r="E81" s="171">
        <f t="shared" si="6"/>
        <v>793875</v>
      </c>
      <c r="F81" s="171">
        <f t="shared" si="6"/>
        <v>788250</v>
      </c>
      <c r="G81" s="171">
        <f t="shared" si="6"/>
        <v>803035</v>
      </c>
      <c r="H81" s="171">
        <f t="shared" si="6"/>
        <v>789220</v>
      </c>
      <c r="I81" s="171">
        <f t="shared" si="6"/>
        <v>801342</v>
      </c>
      <c r="J81" s="171">
        <f t="shared" si="6"/>
        <v>939898</v>
      </c>
      <c r="K81" s="171">
        <f t="shared" si="6"/>
        <v>954770</v>
      </c>
      <c r="L81" s="171">
        <f t="shared" si="6"/>
        <v>940298</v>
      </c>
      <c r="M81" s="171">
        <f t="shared" si="6"/>
        <v>950737</v>
      </c>
      <c r="N81" s="171">
        <f t="shared" si="6"/>
        <v>949187</v>
      </c>
      <c r="O81" s="171">
        <v>966014</v>
      </c>
      <c r="P81" s="171">
        <f>+P80+P71</f>
        <v>972513.10203299997</v>
      </c>
      <c r="Q81" s="171">
        <f>+Q80+Q71</f>
        <v>981612.67277900001</v>
      </c>
      <c r="R81" s="171">
        <v>981112.40486800007</v>
      </c>
      <c r="S81" s="171">
        <v>996112.47396500001</v>
      </c>
      <c r="T81" s="171">
        <v>986100.39827000001</v>
      </c>
      <c r="V81" s="121" t="s">
        <v>125</v>
      </c>
      <c r="W81" s="541">
        <v>1010762.065391</v>
      </c>
      <c r="X81" s="541">
        <v>1024537.06163</v>
      </c>
      <c r="Y81" s="541">
        <v>1055357.8010130001</v>
      </c>
      <c r="Z81" s="541">
        <v>1074342</v>
      </c>
      <c r="AA81" s="541">
        <v>1091824.6402400001</v>
      </c>
      <c r="AB81" s="541">
        <v>1038328.735597</v>
      </c>
    </row>
    <row r="82" spans="2:28" ht="15">
      <c r="B82" s="123"/>
      <c r="C82" s="173"/>
      <c r="D82" s="173"/>
      <c r="E82" s="173"/>
      <c r="F82" s="173"/>
      <c r="G82" s="173"/>
      <c r="H82" s="173"/>
      <c r="I82" s="173"/>
      <c r="J82" s="173"/>
      <c r="K82" s="173"/>
      <c r="L82" s="173"/>
      <c r="M82" s="173"/>
      <c r="N82" s="173"/>
      <c r="O82" s="173"/>
      <c r="P82" s="173"/>
      <c r="Q82" s="173"/>
      <c r="R82" s="173"/>
      <c r="S82" s="173">
        <v>0</v>
      </c>
      <c r="T82" s="173"/>
      <c r="V82" s="123"/>
      <c r="W82" s="545"/>
      <c r="X82" s="545">
        <v>0</v>
      </c>
      <c r="Y82" s="545"/>
      <c r="Z82" s="545"/>
      <c r="AA82" s="545"/>
      <c r="AB82" s="545"/>
    </row>
    <row r="83" spans="2:28" ht="15">
      <c r="B83" s="177" t="s">
        <v>126</v>
      </c>
      <c r="C83" s="178"/>
      <c r="D83" s="178"/>
      <c r="E83" s="178"/>
      <c r="F83" s="178"/>
      <c r="G83" s="178"/>
      <c r="H83" s="178"/>
      <c r="I83" s="178"/>
      <c r="J83" s="178"/>
      <c r="K83" s="178"/>
      <c r="L83" s="178"/>
      <c r="M83" s="178"/>
      <c r="N83" s="178"/>
      <c r="O83" s="178"/>
      <c r="P83" s="178"/>
      <c r="Q83" s="178"/>
      <c r="R83" s="178"/>
      <c r="S83" s="178"/>
      <c r="T83" s="178"/>
      <c r="V83" s="177" t="s">
        <v>126</v>
      </c>
      <c r="W83" s="544"/>
      <c r="X83" s="544"/>
      <c r="Y83" s="544"/>
      <c r="Z83" s="544"/>
      <c r="AA83" s="544"/>
      <c r="AB83" s="544"/>
    </row>
    <row r="84" spans="2:28" s="36" customFormat="1" ht="15.6">
      <c r="B84" s="169" t="s">
        <v>127</v>
      </c>
      <c r="C84" s="170">
        <v>85214</v>
      </c>
      <c r="D84" s="170">
        <v>85214</v>
      </c>
      <c r="E84" s="170">
        <v>85214</v>
      </c>
      <c r="F84" s="170">
        <v>85214</v>
      </c>
      <c r="G84" s="170">
        <v>85214</v>
      </c>
      <c r="H84" s="170">
        <v>85214</v>
      </c>
      <c r="I84" s="170">
        <v>85214</v>
      </c>
      <c r="J84" s="170">
        <v>85214</v>
      </c>
      <c r="K84" s="170">
        <v>85214</v>
      </c>
      <c r="L84" s="170">
        <v>85214</v>
      </c>
      <c r="M84" s="170">
        <v>85214</v>
      </c>
      <c r="N84" s="170">
        <v>85214</v>
      </c>
      <c r="O84" s="170">
        <v>85214</v>
      </c>
      <c r="P84" s="170">
        <v>85214.499991000004</v>
      </c>
      <c r="Q84" s="170">
        <v>85214.499991000004</v>
      </c>
      <c r="R84" s="170">
        <v>85214.499991000004</v>
      </c>
      <c r="S84" s="170">
        <v>85214.499991000004</v>
      </c>
      <c r="T84" s="170">
        <v>85214.499991000004</v>
      </c>
      <c r="V84" s="169" t="s">
        <v>127</v>
      </c>
      <c r="W84" s="542">
        <v>85214.499991000004</v>
      </c>
      <c r="X84" s="542">
        <v>85214.499991000004</v>
      </c>
      <c r="Y84" s="542">
        <v>85214.499991000004</v>
      </c>
      <c r="Z84" s="542">
        <v>85214</v>
      </c>
      <c r="AA84" s="542">
        <v>85214.499991000004</v>
      </c>
      <c r="AB84" s="542">
        <v>85214.499991000004</v>
      </c>
    </row>
    <row r="85" spans="2:28" s="36" customFormat="1" ht="15.6">
      <c r="B85" s="169" t="s">
        <v>128</v>
      </c>
      <c r="C85" s="170">
        <v>0</v>
      </c>
      <c r="D85" s="170">
        <v>0</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V85" s="169" t="s">
        <v>128</v>
      </c>
      <c r="W85" s="542">
        <v>0</v>
      </c>
      <c r="X85" s="542">
        <v>0</v>
      </c>
      <c r="Y85" s="542">
        <v>0</v>
      </c>
      <c r="Z85" s="542" t="s">
        <v>1155</v>
      </c>
      <c r="AA85" s="542">
        <v>0</v>
      </c>
      <c r="AB85" s="542">
        <v>0</v>
      </c>
    </row>
    <row r="86" spans="2:28" s="36" customFormat="1" ht="15.6">
      <c r="B86" s="169" t="s">
        <v>129</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V86" s="169" t="s">
        <v>129</v>
      </c>
      <c r="W86" s="542">
        <v>0</v>
      </c>
      <c r="X86" s="542">
        <v>0</v>
      </c>
      <c r="Y86" s="542">
        <v>0</v>
      </c>
      <c r="Z86" s="542" t="s">
        <v>1155</v>
      </c>
      <c r="AA86" s="542">
        <v>0</v>
      </c>
      <c r="AB86" s="542">
        <v>0</v>
      </c>
    </row>
    <row r="87" spans="2:28" s="36" customFormat="1" ht="15.6">
      <c r="B87" s="169" t="s">
        <v>130</v>
      </c>
      <c r="C87" s="170">
        <v>193927</v>
      </c>
      <c r="D87" s="170">
        <v>236233</v>
      </c>
      <c r="E87" s="170">
        <v>281327</v>
      </c>
      <c r="F87" s="170">
        <v>281327</v>
      </c>
      <c r="G87" s="170">
        <v>281327</v>
      </c>
      <c r="H87" s="170">
        <v>281225</v>
      </c>
      <c r="I87" s="170">
        <v>324193</v>
      </c>
      <c r="J87" s="170">
        <v>324193</v>
      </c>
      <c r="K87" s="170">
        <v>324193</v>
      </c>
      <c r="L87" s="170">
        <v>324193</v>
      </c>
      <c r="M87" s="170">
        <v>318693</v>
      </c>
      <c r="N87" s="170">
        <v>318693</v>
      </c>
      <c r="O87" s="170">
        <v>318693</v>
      </c>
      <c r="P87" s="170">
        <v>318693.229207</v>
      </c>
      <c r="Q87" s="170">
        <v>357704.89399499999</v>
      </c>
      <c r="R87" s="170">
        <v>357704.89399499999</v>
      </c>
      <c r="S87" s="170">
        <v>357704.89399499999</v>
      </c>
      <c r="T87" s="170">
        <v>302116.86199499998</v>
      </c>
      <c r="V87" s="169" t="s">
        <v>130</v>
      </c>
      <c r="W87" s="542">
        <v>345594.87307600002</v>
      </c>
      <c r="X87" s="542">
        <v>345594.87307600002</v>
      </c>
      <c r="Y87" s="542">
        <v>345594.87307600002</v>
      </c>
      <c r="Z87" s="542">
        <v>418528</v>
      </c>
      <c r="AA87" s="542">
        <v>418528.294077</v>
      </c>
      <c r="AB87" s="542">
        <v>389899.24607699999</v>
      </c>
    </row>
    <row r="88" spans="2:28" s="36" customFormat="1" ht="15.6">
      <c r="B88" s="169" t="s">
        <v>131</v>
      </c>
      <c r="C88" s="170">
        <v>42306</v>
      </c>
      <c r="D88" s="170">
        <v>45093</v>
      </c>
      <c r="E88" s="170">
        <v>9565</v>
      </c>
      <c r="F88" s="170">
        <v>19422</v>
      </c>
      <c r="G88" s="170">
        <v>26900</v>
      </c>
      <c r="H88" s="170">
        <v>42969</v>
      </c>
      <c r="I88" s="170">
        <v>10807</v>
      </c>
      <c r="J88" s="170">
        <v>19876</v>
      </c>
      <c r="K88" s="170">
        <v>33777</v>
      </c>
      <c r="L88" s="170">
        <v>45514</v>
      </c>
      <c r="M88" s="170">
        <v>10774</v>
      </c>
      <c r="N88" s="170">
        <v>18189</v>
      </c>
      <c r="O88" s="170">
        <v>33112</v>
      </c>
      <c r="P88" s="170">
        <v>39011.664788000002</v>
      </c>
      <c r="Q88" s="170">
        <v>11526.165836</v>
      </c>
      <c r="R88" s="170">
        <v>23572.413223</v>
      </c>
      <c r="S88" s="170">
        <v>33497.750252999991</v>
      </c>
      <c r="T88" s="170">
        <v>43478.011079999997</v>
      </c>
      <c r="V88" s="169" t="s">
        <v>131</v>
      </c>
      <c r="W88" s="542">
        <v>3398.020638</v>
      </c>
      <c r="X88" s="542">
        <v>9911.820232</v>
      </c>
      <c r="Y88" s="542">
        <v>44180.694109999997</v>
      </c>
      <c r="Z88" s="542">
        <v>72933</v>
      </c>
      <c r="AA88" s="542">
        <v>21929.186812</v>
      </c>
      <c r="AB88" s="542">
        <v>45145.837046000001</v>
      </c>
    </row>
    <row r="89" spans="2:28" s="36" customFormat="1" ht="15.6">
      <c r="B89" s="169" t="s">
        <v>132</v>
      </c>
      <c r="C89" s="170">
        <v>4355</v>
      </c>
      <c r="D89" s="170">
        <v>2292</v>
      </c>
      <c r="E89" s="170">
        <v>1745</v>
      </c>
      <c r="F89" s="170">
        <v>1107</v>
      </c>
      <c r="G89" s="170">
        <v>1411</v>
      </c>
      <c r="H89" s="170">
        <v>2883</v>
      </c>
      <c r="I89" s="170">
        <v>2886</v>
      </c>
      <c r="J89" s="170">
        <v>2826</v>
      </c>
      <c r="K89" s="170">
        <v>2802</v>
      </c>
      <c r="L89" s="170">
        <v>3550</v>
      </c>
      <c r="M89" s="170">
        <v>4748</v>
      </c>
      <c r="N89" s="170">
        <v>5039</v>
      </c>
      <c r="O89" s="170">
        <v>4745</v>
      </c>
      <c r="P89" s="170">
        <v>4603.9519250000003</v>
      </c>
      <c r="Q89" s="170">
        <v>4518.948727</v>
      </c>
      <c r="R89" s="170">
        <v>4391.9058059999998</v>
      </c>
      <c r="S89" s="170">
        <v>4203.1314650000004</v>
      </c>
      <c r="T89" s="170">
        <v>3751.3774039999998</v>
      </c>
      <c r="V89" s="169" t="s">
        <v>132</v>
      </c>
      <c r="W89" s="542">
        <v>3381.538638</v>
      </c>
      <c r="X89" s="542">
        <v>1.9665140000000001</v>
      </c>
      <c r="Y89" s="542">
        <v>1.9999999999999999E-6</v>
      </c>
      <c r="Z89" s="542">
        <v>0</v>
      </c>
      <c r="AA89" s="542">
        <v>0</v>
      </c>
      <c r="AB89" s="542">
        <v>0</v>
      </c>
    </row>
    <row r="90" spans="2:28" ht="15">
      <c r="B90" s="167" t="s">
        <v>135</v>
      </c>
      <c r="C90" s="172">
        <f t="shared" ref="C90:N90" si="7">SUM(C84:C89)</f>
        <v>325802</v>
      </c>
      <c r="D90" s="172">
        <f t="shared" si="7"/>
        <v>368832</v>
      </c>
      <c r="E90" s="172">
        <f t="shared" si="7"/>
        <v>377851</v>
      </c>
      <c r="F90" s="172">
        <f t="shared" si="7"/>
        <v>387070</v>
      </c>
      <c r="G90" s="172">
        <f t="shared" si="7"/>
        <v>394852</v>
      </c>
      <c r="H90" s="172">
        <f t="shared" si="7"/>
        <v>412291</v>
      </c>
      <c r="I90" s="172">
        <f t="shared" si="7"/>
        <v>423100</v>
      </c>
      <c r="J90" s="172">
        <f t="shared" si="7"/>
        <v>432109</v>
      </c>
      <c r="K90" s="172">
        <f t="shared" si="7"/>
        <v>445986</v>
      </c>
      <c r="L90" s="172">
        <f t="shared" si="7"/>
        <v>458471</v>
      </c>
      <c r="M90" s="172">
        <f t="shared" si="7"/>
        <v>419429</v>
      </c>
      <c r="N90" s="172">
        <f t="shared" si="7"/>
        <v>427135</v>
      </c>
      <c r="O90" s="172">
        <v>441764</v>
      </c>
      <c r="P90" s="172">
        <f>SUM(P84:P89)</f>
        <v>447523.34591099998</v>
      </c>
      <c r="Q90" s="172">
        <f>SUM(Q84:Q89)</f>
        <v>458964.50854899996</v>
      </c>
      <c r="R90" s="172">
        <v>470883.71301499999</v>
      </c>
      <c r="S90" s="172">
        <v>480620.27570399997</v>
      </c>
      <c r="T90" s="172">
        <v>434560.75046999997</v>
      </c>
      <c r="V90" s="167" t="s">
        <v>135</v>
      </c>
      <c r="W90" s="543">
        <v>437588.93234300002</v>
      </c>
      <c r="X90" s="543">
        <v>440723.15981300006</v>
      </c>
      <c r="Y90" s="543">
        <v>474990.06717900001</v>
      </c>
      <c r="Z90" s="543">
        <v>503743</v>
      </c>
      <c r="AA90" s="543">
        <v>525671.98087999993</v>
      </c>
      <c r="AB90" s="543">
        <v>520259.58311399998</v>
      </c>
    </row>
    <row r="91" spans="2:28" ht="15">
      <c r="B91" s="121" t="s">
        <v>136</v>
      </c>
      <c r="C91" s="171">
        <f t="shared" ref="C91:N91" si="8">+C81+C90</f>
        <v>1125038</v>
      </c>
      <c r="D91" s="171">
        <f t="shared" si="8"/>
        <v>1166220</v>
      </c>
      <c r="E91" s="171">
        <f t="shared" si="8"/>
        <v>1171726</v>
      </c>
      <c r="F91" s="171">
        <f t="shared" si="8"/>
        <v>1175320</v>
      </c>
      <c r="G91" s="171">
        <f t="shared" si="8"/>
        <v>1197887</v>
      </c>
      <c r="H91" s="171">
        <f t="shared" si="8"/>
        <v>1201511</v>
      </c>
      <c r="I91" s="171">
        <f t="shared" si="8"/>
        <v>1224442</v>
      </c>
      <c r="J91" s="171">
        <f t="shared" si="8"/>
        <v>1372007</v>
      </c>
      <c r="K91" s="171">
        <f t="shared" si="8"/>
        <v>1400756</v>
      </c>
      <c r="L91" s="171">
        <f t="shared" si="8"/>
        <v>1398769</v>
      </c>
      <c r="M91" s="171">
        <f t="shared" si="8"/>
        <v>1370166</v>
      </c>
      <c r="N91" s="171">
        <f t="shared" si="8"/>
        <v>1376322</v>
      </c>
      <c r="O91" s="171">
        <v>1407778</v>
      </c>
      <c r="P91" s="171">
        <f>+P90+P81</f>
        <v>1420036.4479439999</v>
      </c>
      <c r="Q91" s="171">
        <f>+Q90+Q81</f>
        <v>1440577.181328</v>
      </c>
      <c r="R91" s="171">
        <v>1451996.1178830001</v>
      </c>
      <c r="S91" s="171">
        <v>1476732.749669</v>
      </c>
      <c r="T91" s="171">
        <v>1420661.1487400001</v>
      </c>
      <c r="V91" s="121" t="s">
        <v>136</v>
      </c>
      <c r="W91" s="541">
        <v>1448350.997734</v>
      </c>
      <c r="X91" s="541">
        <v>1465260.221443</v>
      </c>
      <c r="Y91" s="541">
        <v>1530347.8681920001</v>
      </c>
      <c r="Z91" s="541">
        <v>1578084</v>
      </c>
      <c r="AA91" s="541">
        <v>1617496.62112</v>
      </c>
      <c r="AB91" s="541">
        <v>1558588.318711</v>
      </c>
    </row>
    <row r="92" spans="2:28" ht="15.6">
      <c r="B92" s="79"/>
      <c r="C92" s="132"/>
      <c r="D92" s="132"/>
      <c r="E92" s="132"/>
      <c r="F92" s="132"/>
      <c r="G92" s="132"/>
      <c r="H92" s="79"/>
      <c r="I92" s="79"/>
      <c r="J92" s="79"/>
      <c r="K92" s="79"/>
      <c r="L92" s="79"/>
      <c r="M92" s="132"/>
      <c r="N92" s="132"/>
      <c r="O92" s="132"/>
      <c r="P92" s="468"/>
      <c r="Q92" s="468"/>
      <c r="R92" s="468"/>
      <c r="S92" s="468"/>
      <c r="T92" s="468">
        <v>0</v>
      </c>
      <c r="W92" s="546"/>
      <c r="X92" s="546"/>
      <c r="Y92" s="546"/>
      <c r="Z92" s="546"/>
      <c r="AA92" s="546"/>
      <c r="AB92" s="546"/>
    </row>
    <row r="93" spans="2:28" ht="15.6">
      <c r="B93" s="132"/>
      <c r="C93" s="132"/>
      <c r="D93" s="132"/>
      <c r="E93" s="132"/>
      <c r="F93" s="132"/>
      <c r="G93" s="132"/>
      <c r="H93" s="132"/>
      <c r="I93" s="132"/>
      <c r="J93" s="132"/>
      <c r="K93" s="132"/>
      <c r="L93" s="132"/>
      <c r="M93" s="132"/>
      <c r="N93" s="132"/>
      <c r="O93" s="132"/>
      <c r="W93" s="535"/>
      <c r="X93" s="535"/>
      <c r="Z93" s="535"/>
      <c r="AA93" s="535"/>
      <c r="AB93" s="535"/>
    </row>
    <row r="94" spans="2:28" ht="15.6">
      <c r="B94" s="54" t="s">
        <v>480</v>
      </c>
      <c r="C94" s="29"/>
      <c r="D94" s="29"/>
      <c r="E94" s="30"/>
      <c r="F94" s="29"/>
      <c r="G94" s="29"/>
      <c r="H94" s="29"/>
      <c r="I94" s="30"/>
      <c r="J94" s="29"/>
      <c r="K94" s="29"/>
      <c r="L94" s="29"/>
      <c r="M94" s="30"/>
      <c r="N94" s="29"/>
      <c r="O94" s="29"/>
      <c r="W94" s="535"/>
      <c r="X94" s="535"/>
      <c r="Z94" s="535"/>
      <c r="AA94" s="535"/>
      <c r="AB94" s="535"/>
    </row>
    <row r="95" spans="2:28" ht="15.6">
      <c r="B95" s="252" t="s">
        <v>478</v>
      </c>
      <c r="C95" s="132"/>
      <c r="D95" s="132"/>
      <c r="E95" s="132"/>
      <c r="F95" s="132"/>
      <c r="G95" s="132"/>
      <c r="H95" s="132"/>
      <c r="I95" s="132"/>
      <c r="J95" s="132"/>
      <c r="K95" s="132"/>
      <c r="L95" s="132"/>
      <c r="M95" s="132"/>
      <c r="N95" s="132"/>
      <c r="O95" s="132"/>
      <c r="W95" s="535"/>
      <c r="X95" s="535"/>
      <c r="Z95" s="535"/>
      <c r="AA95" s="535"/>
      <c r="AB95" s="535"/>
    </row>
    <row r="96" spans="2:28" ht="6" customHeight="1">
      <c r="B96" s="31"/>
      <c r="C96" s="31"/>
      <c r="D96" s="31"/>
      <c r="E96" s="31"/>
      <c r="F96" s="31"/>
      <c r="G96" s="31"/>
      <c r="H96" s="31"/>
      <c r="I96" s="31"/>
      <c r="J96" s="31"/>
      <c r="K96" s="31"/>
      <c r="L96" s="31"/>
      <c r="M96" s="31"/>
      <c r="N96" s="31"/>
      <c r="O96" s="31"/>
      <c r="W96" s="535"/>
      <c r="X96" s="535"/>
      <c r="Z96" s="535"/>
      <c r="AA96" s="535"/>
      <c r="AB96" s="535"/>
    </row>
    <row r="97" spans="2:28" ht="15">
      <c r="B97" s="250"/>
      <c r="C97" s="251">
        <v>2016</v>
      </c>
      <c r="D97" s="251">
        <v>2017</v>
      </c>
      <c r="E97" s="251" t="s">
        <v>40</v>
      </c>
      <c r="F97" s="251" t="s">
        <v>41</v>
      </c>
      <c r="G97" s="251" t="s">
        <v>42</v>
      </c>
      <c r="H97" s="251" t="s">
        <v>43</v>
      </c>
      <c r="I97" s="251" t="s">
        <v>44</v>
      </c>
      <c r="J97" s="251" t="s">
        <v>45</v>
      </c>
      <c r="K97" s="251" t="s">
        <v>46</v>
      </c>
      <c r="L97" s="251" t="s">
        <v>47</v>
      </c>
      <c r="M97" s="251" t="s">
        <v>48</v>
      </c>
      <c r="N97" s="251" t="s">
        <v>49</v>
      </c>
      <c r="O97" s="251" t="s">
        <v>50</v>
      </c>
      <c r="P97" s="245" t="s">
        <v>51</v>
      </c>
      <c r="Q97" s="245" t="s">
        <v>52</v>
      </c>
      <c r="R97" s="245" t="s">
        <v>53</v>
      </c>
      <c r="S97" s="245" t="s">
        <v>54</v>
      </c>
      <c r="T97" s="245" t="s">
        <v>55</v>
      </c>
      <c r="V97" s="250"/>
      <c r="W97" s="536" t="s">
        <v>87</v>
      </c>
      <c r="X97" s="536" t="s">
        <v>56</v>
      </c>
      <c r="Y97" s="536" t="s">
        <v>481</v>
      </c>
      <c r="Z97" s="536" t="s">
        <v>1154</v>
      </c>
      <c r="AA97" s="536" t="s">
        <v>1169</v>
      </c>
      <c r="AB97" s="536" t="s">
        <v>1207</v>
      </c>
    </row>
    <row r="98" spans="2:28" ht="6.9" customHeight="1">
      <c r="B98" s="137"/>
      <c r="C98" s="31"/>
      <c r="D98" s="31"/>
      <c r="E98" s="31"/>
      <c r="F98" s="31"/>
      <c r="G98" s="31"/>
      <c r="H98" s="31"/>
      <c r="I98" s="31"/>
      <c r="J98" s="31"/>
      <c r="K98" s="31"/>
      <c r="L98" s="31"/>
      <c r="M98" s="31"/>
      <c r="N98" s="31"/>
      <c r="O98" s="31"/>
      <c r="W98" s="535"/>
      <c r="X98" s="535"/>
      <c r="Z98" s="535"/>
      <c r="AA98" s="535"/>
      <c r="AB98" s="535"/>
    </row>
    <row r="99" spans="2:28" ht="15.6">
      <c r="B99" s="72" t="s">
        <v>58</v>
      </c>
      <c r="C99" s="107">
        <v>3404</v>
      </c>
      <c r="D99" s="107">
        <v>1850</v>
      </c>
      <c r="E99" s="107">
        <v>582</v>
      </c>
      <c r="F99" s="107">
        <v>152</v>
      </c>
      <c r="G99" s="107">
        <v>669</v>
      </c>
      <c r="H99" s="107">
        <v>394</v>
      </c>
      <c r="I99" s="107">
        <v>2114</v>
      </c>
      <c r="J99" s="107">
        <v>2166</v>
      </c>
      <c r="K99" s="107">
        <v>263</v>
      </c>
      <c r="L99" s="107">
        <v>2065</v>
      </c>
      <c r="M99" s="107">
        <v>-65</v>
      </c>
      <c r="N99" s="107">
        <v>151</v>
      </c>
      <c r="O99" s="107">
        <v>549</v>
      </c>
      <c r="P99" s="107">
        <v>3092.7752770000002</v>
      </c>
      <c r="Q99" s="107">
        <v>-1482.9165980999999</v>
      </c>
      <c r="R99" s="107">
        <v>2514.9165980999996</v>
      </c>
      <c r="S99" s="107">
        <v>1024</v>
      </c>
      <c r="T99" s="107">
        <v>2258.5704969999997</v>
      </c>
      <c r="V99" s="72" t="s">
        <v>58</v>
      </c>
      <c r="W99" s="107">
        <v>3575.812312</v>
      </c>
      <c r="X99" s="107">
        <v>10266.739632000001</v>
      </c>
      <c r="Y99" s="107">
        <v>13157.666040999999</v>
      </c>
      <c r="Z99" s="107">
        <v>16044</v>
      </c>
      <c r="AA99" s="107">
        <v>12183.474246</v>
      </c>
      <c r="AB99" s="107">
        <v>9800.1710250000015</v>
      </c>
    </row>
    <row r="100" spans="2:28" ht="15.6">
      <c r="B100" s="72" t="s">
        <v>59</v>
      </c>
      <c r="C100" s="107">
        <v>3013</v>
      </c>
      <c r="D100" s="107">
        <v>1637</v>
      </c>
      <c r="E100" s="107">
        <v>515</v>
      </c>
      <c r="F100" s="107">
        <v>135</v>
      </c>
      <c r="G100" s="107">
        <v>592</v>
      </c>
      <c r="H100" s="107">
        <v>349</v>
      </c>
      <c r="I100" s="107">
        <v>1870</v>
      </c>
      <c r="J100" s="107">
        <v>1918</v>
      </c>
      <c r="K100" s="107">
        <v>232</v>
      </c>
      <c r="L100" s="107">
        <v>1828</v>
      </c>
      <c r="M100" s="107">
        <v>-56</v>
      </c>
      <c r="N100" s="107">
        <v>131</v>
      </c>
      <c r="O100" s="107">
        <v>477</v>
      </c>
      <c r="P100" s="107">
        <v>2689.3698060000002</v>
      </c>
      <c r="Q100" s="107">
        <v>1289.492694</v>
      </c>
      <c r="R100" s="107">
        <v>-392.49269400000003</v>
      </c>
      <c r="S100" s="107">
        <v>891</v>
      </c>
      <c r="T100" s="107">
        <v>1963.800432</v>
      </c>
      <c r="V100" s="72" t="s">
        <v>59</v>
      </c>
      <c r="W100" s="107">
        <v>3109.4020110000001</v>
      </c>
      <c r="X100" s="107">
        <v>2186.7353579999999</v>
      </c>
      <c r="Y100" s="107">
        <v>890.26215599999978</v>
      </c>
      <c r="Z100" s="107">
        <v>2520</v>
      </c>
      <c r="AA100" s="107">
        <v>10594.325430999999</v>
      </c>
      <c r="AB100" s="107">
        <v>8927.5996800000012</v>
      </c>
    </row>
    <row r="101" spans="2:28" ht="15.6">
      <c r="B101" s="131" t="s">
        <v>60</v>
      </c>
      <c r="C101" s="138">
        <v>391</v>
      </c>
      <c r="D101" s="138">
        <v>213</v>
      </c>
      <c r="E101" s="138">
        <v>67</v>
      </c>
      <c r="F101" s="138">
        <v>17</v>
      </c>
      <c r="G101" s="138">
        <v>77</v>
      </c>
      <c r="H101" s="138">
        <v>45</v>
      </c>
      <c r="I101" s="138">
        <v>244</v>
      </c>
      <c r="J101" s="138">
        <v>248</v>
      </c>
      <c r="K101" s="138">
        <v>31</v>
      </c>
      <c r="L101" s="138">
        <v>237</v>
      </c>
      <c r="M101" s="138">
        <v>-9</v>
      </c>
      <c r="N101" s="138">
        <v>20</v>
      </c>
      <c r="O101" s="138">
        <v>72</v>
      </c>
      <c r="P101" s="138">
        <v>403.40547100000003</v>
      </c>
      <c r="Q101" s="138">
        <f>+Q99+Q100</f>
        <v>-193.42390409999985</v>
      </c>
      <c r="R101" s="138">
        <v>2122.4239040999996</v>
      </c>
      <c r="S101" s="138">
        <v>133</v>
      </c>
      <c r="T101" s="138">
        <v>294.7700649999997</v>
      </c>
      <c r="V101" s="131" t="s">
        <v>61</v>
      </c>
      <c r="W101" s="138">
        <v>466.41030099999989</v>
      </c>
      <c r="X101" s="138">
        <v>8080.0042740000008</v>
      </c>
      <c r="Y101" s="138">
        <v>12267.403885</v>
      </c>
      <c r="Z101" s="138">
        <v>13525</v>
      </c>
      <c r="AA101" s="138">
        <v>1589.1488150000005</v>
      </c>
      <c r="AB101" s="138">
        <v>872.57134500000029</v>
      </c>
    </row>
    <row r="102" spans="2:28" ht="15.6">
      <c r="B102" s="72"/>
      <c r="C102" s="107"/>
      <c r="D102" s="107"/>
      <c r="E102" s="107"/>
      <c r="F102" s="107"/>
      <c r="G102" s="107"/>
      <c r="H102" s="107"/>
      <c r="I102" s="107"/>
      <c r="J102" s="107"/>
      <c r="K102" s="107"/>
      <c r="L102" s="107"/>
      <c r="M102" s="107"/>
      <c r="N102" s="107"/>
      <c r="O102" s="107"/>
      <c r="P102" s="107"/>
      <c r="Q102" s="107"/>
      <c r="R102" s="107"/>
      <c r="S102" s="107">
        <v>0</v>
      </c>
      <c r="T102" s="107">
        <v>0</v>
      </c>
      <c r="W102" s="107"/>
      <c r="X102" s="107">
        <v>0</v>
      </c>
      <c r="Y102" s="107"/>
      <c r="Z102" s="107"/>
      <c r="AA102" s="107"/>
      <c r="AB102" s="107"/>
    </row>
    <row r="103" spans="2:28" ht="15.6">
      <c r="B103" s="72" t="s">
        <v>468</v>
      </c>
      <c r="C103" s="107">
        <v>9856</v>
      </c>
      <c r="D103" s="107">
        <v>10456</v>
      </c>
      <c r="E103" s="107">
        <v>3151</v>
      </c>
      <c r="F103" s="107">
        <v>2372</v>
      </c>
      <c r="G103" s="107">
        <v>1962</v>
      </c>
      <c r="H103" s="107">
        <v>2944</v>
      </c>
      <c r="I103" s="107">
        <v>3391</v>
      </c>
      <c r="J103" s="107">
        <v>3214</v>
      </c>
      <c r="K103" s="107">
        <v>2034</v>
      </c>
      <c r="L103" s="107">
        <v>2200</v>
      </c>
      <c r="M103" s="107">
        <v>3403</v>
      </c>
      <c r="N103" s="107">
        <v>3646</v>
      </c>
      <c r="O103" s="107">
        <v>2234</v>
      </c>
      <c r="P103" s="107">
        <v>2771.4469170000002</v>
      </c>
      <c r="Q103" s="107">
        <v>3631.6147111</v>
      </c>
      <c r="R103" s="107">
        <v>3607.3852889</v>
      </c>
      <c r="S103" s="107">
        <v>3039</v>
      </c>
      <c r="T103" s="107">
        <v>3764.1872879999992</v>
      </c>
      <c r="V103" s="72" t="s">
        <v>468</v>
      </c>
      <c r="W103" s="107">
        <v>2988.0338710000001</v>
      </c>
      <c r="X103" s="107">
        <v>5280.2685679999995</v>
      </c>
      <c r="Y103" s="107">
        <v>3411.972033</v>
      </c>
      <c r="Z103" s="107">
        <v>4723</v>
      </c>
      <c r="AA103" s="107">
        <v>3313.9447679999998</v>
      </c>
      <c r="AB103" s="107">
        <v>4461.112271</v>
      </c>
    </row>
    <row r="104" spans="2:28" ht="15.6">
      <c r="B104" s="72" t="s">
        <v>469</v>
      </c>
      <c r="C104" s="107">
        <v>19971</v>
      </c>
      <c r="D104" s="107">
        <v>18953</v>
      </c>
      <c r="E104" s="107">
        <v>4356</v>
      </c>
      <c r="F104" s="107">
        <v>3903</v>
      </c>
      <c r="G104" s="107">
        <v>3848</v>
      </c>
      <c r="H104" s="107">
        <v>3723</v>
      </c>
      <c r="I104" s="107">
        <v>3760</v>
      </c>
      <c r="J104" s="107">
        <v>3693</v>
      </c>
      <c r="K104" s="107">
        <v>3555</v>
      </c>
      <c r="L104" s="107">
        <v>3410</v>
      </c>
      <c r="M104" s="107">
        <v>3296</v>
      </c>
      <c r="N104" s="107">
        <v>2741</v>
      </c>
      <c r="O104" s="107">
        <v>2019</v>
      </c>
      <c r="P104" s="107">
        <v>2397.4204569999997</v>
      </c>
      <c r="Q104" s="107">
        <v>2281.2303179999999</v>
      </c>
      <c r="R104" s="107">
        <v>2761.7696820000001</v>
      </c>
      <c r="S104" s="107">
        <v>2819</v>
      </c>
      <c r="T104" s="107">
        <v>4438.8197839999993</v>
      </c>
      <c r="V104" s="72" t="s">
        <v>469</v>
      </c>
      <c r="W104" s="107">
        <v>2514.1301749999998</v>
      </c>
      <c r="X104" s="107">
        <v>2703.2060100000003</v>
      </c>
      <c r="Y104" s="107">
        <v>2484.6057599999995</v>
      </c>
      <c r="Z104" s="107">
        <v>2774</v>
      </c>
      <c r="AA104" s="107">
        <v>2953.064609</v>
      </c>
      <c r="AB104" s="107">
        <v>3043.0019739999998</v>
      </c>
    </row>
    <row r="105" spans="2:28" ht="15.6">
      <c r="B105" s="72" t="s">
        <v>68</v>
      </c>
      <c r="C105" s="107">
        <v>0</v>
      </c>
      <c r="D105" s="107">
        <v>0</v>
      </c>
      <c r="E105" s="107">
        <v>0</v>
      </c>
      <c r="F105" s="107">
        <v>0</v>
      </c>
      <c r="G105" s="107">
        <v>0</v>
      </c>
      <c r="H105" s="107">
        <v>0</v>
      </c>
      <c r="I105" s="107">
        <v>0</v>
      </c>
      <c r="J105" s="107">
        <v>0</v>
      </c>
      <c r="K105" s="107">
        <v>0</v>
      </c>
      <c r="L105" s="107">
        <v>0</v>
      </c>
      <c r="M105" s="107">
        <v>0</v>
      </c>
      <c r="N105" s="107">
        <v>0</v>
      </c>
      <c r="O105" s="107">
        <v>0</v>
      </c>
      <c r="P105" s="107">
        <v>0</v>
      </c>
      <c r="Q105" s="107">
        <v>0</v>
      </c>
      <c r="R105" s="107">
        <v>0</v>
      </c>
      <c r="S105" s="107">
        <v>0</v>
      </c>
      <c r="T105" s="107">
        <v>0</v>
      </c>
      <c r="V105" s="72" t="s">
        <v>68</v>
      </c>
      <c r="W105" s="107">
        <v>0</v>
      </c>
      <c r="X105" s="107">
        <v>0</v>
      </c>
      <c r="Y105" s="107">
        <v>0</v>
      </c>
      <c r="Z105" s="107" t="s">
        <v>1155</v>
      </c>
      <c r="AA105" s="107">
        <v>0</v>
      </c>
      <c r="AB105" s="107">
        <v>0</v>
      </c>
    </row>
    <row r="106" spans="2:28" ht="15.6">
      <c r="B106" s="72" t="s">
        <v>69</v>
      </c>
      <c r="C106" s="107">
        <v>9297</v>
      </c>
      <c r="D106" s="107">
        <v>9868</v>
      </c>
      <c r="E106" s="107">
        <v>2976</v>
      </c>
      <c r="F106" s="107">
        <v>2236</v>
      </c>
      <c r="G106" s="107">
        <v>1852</v>
      </c>
      <c r="H106" s="107">
        <v>2778</v>
      </c>
      <c r="I106" s="107">
        <v>3200</v>
      </c>
      <c r="J106" s="107">
        <v>3030</v>
      </c>
      <c r="K106" s="107">
        <v>1920</v>
      </c>
      <c r="L106" s="107">
        <v>2076</v>
      </c>
      <c r="M106" s="107">
        <v>3151</v>
      </c>
      <c r="N106" s="107">
        <v>3376</v>
      </c>
      <c r="O106" s="107">
        <v>2068</v>
      </c>
      <c r="P106" s="107">
        <v>2566.154552</v>
      </c>
      <c r="Q106" s="107">
        <v>3362.6062139999999</v>
      </c>
      <c r="R106" s="107">
        <v>5134.3937860000005</v>
      </c>
      <c r="S106" s="107">
        <v>1019</v>
      </c>
      <c r="T106" s="107">
        <v>3486.0252670000009</v>
      </c>
      <c r="V106" s="72" t="s">
        <v>69</v>
      </c>
      <c r="W106" s="107">
        <v>2766.6980279999998</v>
      </c>
      <c r="X106" s="107">
        <v>11525.837542000001</v>
      </c>
      <c r="Y106" s="107">
        <v>13667.027451000002</v>
      </c>
      <c r="Z106" s="107">
        <v>15953</v>
      </c>
      <c r="AA106" s="107">
        <v>3068.4673780000012</v>
      </c>
      <c r="AB106" s="107">
        <v>3724.3723629999986</v>
      </c>
    </row>
    <row r="107" spans="2:28" ht="15.6">
      <c r="B107" s="131" t="s">
        <v>70</v>
      </c>
      <c r="C107" s="138">
        <v>20530</v>
      </c>
      <c r="D107" s="138">
        <v>19541</v>
      </c>
      <c r="E107" s="138">
        <v>4531</v>
      </c>
      <c r="F107" s="138">
        <v>4039</v>
      </c>
      <c r="G107" s="138">
        <v>3958</v>
      </c>
      <c r="H107" s="138">
        <v>3889</v>
      </c>
      <c r="I107" s="138">
        <v>3951</v>
      </c>
      <c r="J107" s="138">
        <v>3877</v>
      </c>
      <c r="K107" s="138">
        <v>3669</v>
      </c>
      <c r="L107" s="138">
        <v>3534</v>
      </c>
      <c r="M107" s="138">
        <v>3548</v>
      </c>
      <c r="N107" s="138">
        <v>3011</v>
      </c>
      <c r="O107" s="138">
        <v>2185</v>
      </c>
      <c r="P107" s="138">
        <v>2602.7128219999995</v>
      </c>
      <c r="Q107" s="138">
        <f>+Q103+Q104+Q105-Q106</f>
        <v>2550.2388151</v>
      </c>
      <c r="R107" s="138">
        <v>1234.7611848999995</v>
      </c>
      <c r="S107" s="138">
        <v>4839</v>
      </c>
      <c r="T107" s="138">
        <v>4716.9818049999976</v>
      </c>
      <c r="V107" s="72" t="s">
        <v>71</v>
      </c>
      <c r="W107" s="107">
        <v>31.159631999999998</v>
      </c>
      <c r="X107" s="107">
        <v>30.823282000000003</v>
      </c>
      <c r="Y107" s="107">
        <v>34.217987000000001</v>
      </c>
      <c r="Z107" s="107">
        <v>47</v>
      </c>
      <c r="AA107" s="107">
        <v>40.661326000000003</v>
      </c>
      <c r="AB107" s="107">
        <v>52.248244999999997</v>
      </c>
    </row>
    <row r="108" spans="2:28" ht="15.6">
      <c r="B108" s="74" t="s">
        <v>72</v>
      </c>
      <c r="C108" s="108">
        <v>20921</v>
      </c>
      <c r="D108" s="108">
        <v>19754</v>
      </c>
      <c r="E108" s="108">
        <v>4598</v>
      </c>
      <c r="F108" s="108">
        <v>4056</v>
      </c>
      <c r="G108" s="108">
        <v>4035</v>
      </c>
      <c r="H108" s="108">
        <v>3934</v>
      </c>
      <c r="I108" s="108">
        <v>4195</v>
      </c>
      <c r="J108" s="108">
        <v>4125</v>
      </c>
      <c r="K108" s="108">
        <v>3700</v>
      </c>
      <c r="L108" s="108">
        <v>3771</v>
      </c>
      <c r="M108" s="108">
        <v>3539</v>
      </c>
      <c r="N108" s="108">
        <v>3031</v>
      </c>
      <c r="O108" s="108">
        <v>2257</v>
      </c>
      <c r="P108" s="108">
        <v>3006.1182929999995</v>
      </c>
      <c r="Q108" s="108">
        <f>+Q101+Q107</f>
        <v>2356.8149110000004</v>
      </c>
      <c r="R108" s="108">
        <v>3357.1850889999992</v>
      </c>
      <c r="S108" s="108">
        <v>4972</v>
      </c>
      <c r="T108" s="108">
        <v>5011.7518699999973</v>
      </c>
      <c r="V108" s="74" t="s">
        <v>387</v>
      </c>
      <c r="W108" s="108">
        <v>3170.7166870000001</v>
      </c>
      <c r="X108" s="108">
        <v>4506.8180279999988</v>
      </c>
      <c r="Y108" s="108">
        <v>4462.7362399999984</v>
      </c>
      <c r="Z108" s="108">
        <v>5022</v>
      </c>
      <c r="AA108" s="108">
        <v>4747.0294879999983</v>
      </c>
      <c r="AB108" s="108">
        <v>4600.0649820000026</v>
      </c>
    </row>
    <row r="109" spans="2:28" ht="15.6">
      <c r="B109" s="71"/>
      <c r="C109" s="8"/>
      <c r="D109" s="8"/>
      <c r="E109" s="8"/>
      <c r="F109" s="164"/>
      <c r="G109" s="8"/>
      <c r="H109" s="8"/>
      <c r="I109" s="8"/>
      <c r="J109" s="8"/>
      <c r="K109" s="8"/>
      <c r="L109" s="8"/>
      <c r="M109" s="8"/>
      <c r="N109" s="8"/>
      <c r="O109" s="8"/>
      <c r="P109" s="8"/>
      <c r="Q109" s="8"/>
      <c r="R109" s="8"/>
      <c r="S109" s="8"/>
      <c r="T109" s="8"/>
      <c r="W109" s="8"/>
      <c r="X109" s="8"/>
      <c r="Y109" s="8"/>
      <c r="Z109" s="8"/>
      <c r="AA109" s="8"/>
      <c r="AB109" s="8"/>
    </row>
    <row r="110" spans="2:28" ht="15.6">
      <c r="B110" s="72" t="s">
        <v>71</v>
      </c>
      <c r="C110" s="107">
        <v>56</v>
      </c>
      <c r="D110" s="107">
        <v>72</v>
      </c>
      <c r="E110" s="107">
        <v>27</v>
      </c>
      <c r="F110" s="107">
        <v>15</v>
      </c>
      <c r="G110" s="107">
        <v>21</v>
      </c>
      <c r="H110" s="107">
        <v>21</v>
      </c>
      <c r="I110" s="107">
        <v>21</v>
      </c>
      <c r="J110" s="107">
        <v>30</v>
      </c>
      <c r="K110" s="107">
        <v>33</v>
      </c>
      <c r="L110" s="107">
        <v>33</v>
      </c>
      <c r="M110" s="107">
        <v>33</v>
      </c>
      <c r="N110" s="107">
        <v>35</v>
      </c>
      <c r="O110" s="107">
        <v>34</v>
      </c>
      <c r="P110" s="107">
        <v>35.991820000000004</v>
      </c>
      <c r="Q110" s="107">
        <v>33.367283</v>
      </c>
      <c r="R110" s="107">
        <v>33.632717</v>
      </c>
      <c r="S110" s="107">
        <v>30</v>
      </c>
      <c r="T110" s="107">
        <v>29.471971999999994</v>
      </c>
      <c r="W110" s="107"/>
      <c r="X110" s="107">
        <v>0</v>
      </c>
      <c r="Y110" s="107"/>
      <c r="Z110" s="107"/>
      <c r="AA110" s="107"/>
      <c r="AB110" s="107"/>
    </row>
    <row r="111" spans="2:28" ht="15.6">
      <c r="B111" s="72" t="s">
        <v>74</v>
      </c>
      <c r="C111" s="107">
        <v>0</v>
      </c>
      <c r="D111" s="107">
        <v>0</v>
      </c>
      <c r="E111" s="107">
        <v>0</v>
      </c>
      <c r="F111" s="107">
        <v>0</v>
      </c>
      <c r="G111" s="107">
        <v>0</v>
      </c>
      <c r="H111" s="107">
        <v>0</v>
      </c>
      <c r="I111" s="107">
        <v>0</v>
      </c>
      <c r="J111" s="107">
        <v>0</v>
      </c>
      <c r="K111" s="107">
        <v>0</v>
      </c>
      <c r="L111" s="107">
        <v>0</v>
      </c>
      <c r="M111" s="107">
        <v>0</v>
      </c>
      <c r="N111" s="107">
        <v>0</v>
      </c>
      <c r="O111" s="107">
        <v>0</v>
      </c>
      <c r="P111" s="107"/>
      <c r="Q111" s="107"/>
      <c r="R111" s="107">
        <v>0</v>
      </c>
      <c r="S111" s="107">
        <v>0</v>
      </c>
      <c r="T111" s="107">
        <v>0</v>
      </c>
      <c r="V111" s="38" t="s">
        <v>74</v>
      </c>
      <c r="W111" s="107">
        <v>0</v>
      </c>
      <c r="X111" s="107">
        <v>0</v>
      </c>
      <c r="Y111" s="107"/>
      <c r="Z111" s="107"/>
      <c r="AA111" s="107"/>
      <c r="AB111" s="107"/>
    </row>
    <row r="112" spans="2:28" ht="15.6">
      <c r="B112" s="72" t="s">
        <v>75</v>
      </c>
      <c r="C112" s="107">
        <v>-229</v>
      </c>
      <c r="D112" s="107">
        <v>45</v>
      </c>
      <c r="E112" s="107">
        <v>0</v>
      </c>
      <c r="F112" s="107">
        <v>0</v>
      </c>
      <c r="G112" s="107">
        <v>1</v>
      </c>
      <c r="H112" s="107">
        <v>4</v>
      </c>
      <c r="I112" s="107">
        <v>13</v>
      </c>
      <c r="J112" s="107">
        <v>7</v>
      </c>
      <c r="K112" s="107">
        <v>3</v>
      </c>
      <c r="L112" s="107">
        <v>-1</v>
      </c>
      <c r="M112" s="107">
        <v>2</v>
      </c>
      <c r="N112" s="107">
        <v>-117</v>
      </c>
      <c r="O112" s="107">
        <v>97</v>
      </c>
      <c r="P112" s="107">
        <v>-11.393132000000005</v>
      </c>
      <c r="Q112" s="107">
        <v>5.1912770000000004</v>
      </c>
      <c r="R112" s="107">
        <v>-2.1912770000000004</v>
      </c>
      <c r="S112" s="107">
        <v>-3</v>
      </c>
      <c r="T112" s="107">
        <v>1.583027</v>
      </c>
      <c r="V112" s="38" t="s">
        <v>75</v>
      </c>
      <c r="W112" s="107">
        <v>-21.190287999999999</v>
      </c>
      <c r="X112" s="107">
        <v>5.0587449999999983</v>
      </c>
      <c r="Y112" s="107">
        <v>12.036292</v>
      </c>
      <c r="Z112" s="107">
        <v>3</v>
      </c>
      <c r="AA112" s="107">
        <v>-2.13585</v>
      </c>
      <c r="AB112" s="107">
        <v>-9.4663890000000013</v>
      </c>
    </row>
    <row r="113" spans="2:28" ht="15.6">
      <c r="B113" s="74" t="s">
        <v>76</v>
      </c>
      <c r="C113" s="109">
        <v>20636</v>
      </c>
      <c r="D113" s="109">
        <v>19727</v>
      </c>
      <c r="E113" s="109">
        <v>4571</v>
      </c>
      <c r="F113" s="109">
        <v>4041</v>
      </c>
      <c r="G113" s="109">
        <v>4015</v>
      </c>
      <c r="H113" s="109">
        <v>3917</v>
      </c>
      <c r="I113" s="109">
        <v>4187</v>
      </c>
      <c r="J113" s="109">
        <v>4102</v>
      </c>
      <c r="K113" s="109">
        <v>3670</v>
      </c>
      <c r="L113" s="109">
        <v>3737</v>
      </c>
      <c r="M113" s="109">
        <v>3508</v>
      </c>
      <c r="N113" s="109">
        <v>2879</v>
      </c>
      <c r="O113" s="109">
        <v>2320</v>
      </c>
      <c r="P113" s="109">
        <v>2958.7333409999992</v>
      </c>
      <c r="Q113" s="109">
        <f>+Q108-Q110+Q112</f>
        <v>2328.6389050000002</v>
      </c>
      <c r="R113" s="109">
        <v>3321.3610949999993</v>
      </c>
      <c r="S113" s="109">
        <v>4939</v>
      </c>
      <c r="T113" s="109">
        <v>4983.8629249999967</v>
      </c>
      <c r="V113" s="223" t="s">
        <v>76</v>
      </c>
      <c r="W113" s="109">
        <v>3149.5263990000003</v>
      </c>
      <c r="X113" s="109">
        <v>4511.876772999999</v>
      </c>
      <c r="Y113" s="109">
        <v>4474.7725319999981</v>
      </c>
      <c r="Z113" s="109">
        <v>5025</v>
      </c>
      <c r="AA113" s="109">
        <v>4744.8936379999986</v>
      </c>
      <c r="AB113" s="109">
        <v>4590.5985930000024</v>
      </c>
    </row>
    <row r="114" spans="2:28" ht="15.6">
      <c r="B114" s="72"/>
      <c r="C114" s="107"/>
      <c r="D114" s="107"/>
      <c r="E114" s="107"/>
      <c r="F114" s="107"/>
      <c r="G114" s="107"/>
      <c r="H114" s="107"/>
      <c r="I114" s="107"/>
      <c r="J114" s="107"/>
      <c r="K114" s="107"/>
      <c r="L114" s="107"/>
      <c r="M114" s="107"/>
      <c r="N114" s="107"/>
      <c r="O114" s="107"/>
      <c r="P114" s="107"/>
      <c r="Q114" s="107"/>
      <c r="R114" s="107"/>
      <c r="S114" s="107">
        <v>0</v>
      </c>
      <c r="T114" s="107"/>
      <c r="V114" s="38"/>
      <c r="W114" s="107"/>
      <c r="X114" s="107">
        <v>0</v>
      </c>
      <c r="Y114" s="107"/>
      <c r="Z114" s="107"/>
      <c r="AA114" s="107"/>
      <c r="AB114" s="107"/>
    </row>
    <row r="115" spans="2:28" ht="15.6">
      <c r="B115" s="72" t="s">
        <v>77</v>
      </c>
      <c r="C115" s="107">
        <v>-13312</v>
      </c>
      <c r="D115" s="107">
        <v>-12664</v>
      </c>
      <c r="E115" s="107">
        <v>-2781</v>
      </c>
      <c r="F115" s="107">
        <v>-2679</v>
      </c>
      <c r="G115" s="107">
        <v>-2561</v>
      </c>
      <c r="H115" s="107">
        <v>-2311</v>
      </c>
      <c r="I115" s="107">
        <v>-2067</v>
      </c>
      <c r="J115" s="107">
        <v>-2087</v>
      </c>
      <c r="K115" s="107">
        <v>-1681</v>
      </c>
      <c r="L115" s="107">
        <v>-2031</v>
      </c>
      <c r="M115" s="107">
        <v>-2012</v>
      </c>
      <c r="N115" s="107">
        <v>-1682</v>
      </c>
      <c r="O115" s="107">
        <v>-1510</v>
      </c>
      <c r="P115" s="107">
        <v>-1881.9900979999993</v>
      </c>
      <c r="Q115" s="107">
        <f>749.064905-Q104</f>
        <v>-1532.1654129999999</v>
      </c>
      <c r="R115" s="107">
        <v>-1408.8345870000001</v>
      </c>
      <c r="S115" s="107">
        <v>-1631</v>
      </c>
      <c r="T115" s="107">
        <v>-2384.8872499999998</v>
      </c>
      <c r="V115" s="38" t="s">
        <v>77</v>
      </c>
      <c r="W115" s="107">
        <v>-1833.2984979999997</v>
      </c>
      <c r="X115" s="107">
        <v>-1651.3455200000003</v>
      </c>
      <c r="Y115" s="107">
        <v>2001.8533770000004</v>
      </c>
      <c r="Z115" s="107">
        <v>1207</v>
      </c>
      <c r="AA115" s="107">
        <v>-247.28979600000002</v>
      </c>
      <c r="AB115" s="107">
        <v>442.37589600000047</v>
      </c>
    </row>
    <row r="116" spans="2:28" ht="15.6">
      <c r="B116" s="74" t="s">
        <v>78</v>
      </c>
      <c r="C116" s="109">
        <v>7324</v>
      </c>
      <c r="D116" s="109">
        <v>7063</v>
      </c>
      <c r="E116" s="109">
        <v>1790</v>
      </c>
      <c r="F116" s="109">
        <v>1362</v>
      </c>
      <c r="G116" s="109">
        <v>1454</v>
      </c>
      <c r="H116" s="109">
        <v>1606</v>
      </c>
      <c r="I116" s="109">
        <v>2120</v>
      </c>
      <c r="J116" s="109">
        <v>2015</v>
      </c>
      <c r="K116" s="109">
        <v>1989</v>
      </c>
      <c r="L116" s="109">
        <v>1706</v>
      </c>
      <c r="M116" s="109">
        <v>1496</v>
      </c>
      <c r="N116" s="109">
        <v>1197</v>
      </c>
      <c r="O116" s="109">
        <v>810</v>
      </c>
      <c r="P116" s="109">
        <v>1076.7432429999999</v>
      </c>
      <c r="Q116" s="109">
        <f>+Q113+Q115</f>
        <v>796.47349200000031</v>
      </c>
      <c r="R116" s="109">
        <v>1912.5265079999992</v>
      </c>
      <c r="S116" s="109">
        <v>3308</v>
      </c>
      <c r="T116" s="109">
        <v>2598.975674999997</v>
      </c>
      <c r="V116" s="223" t="s">
        <v>78</v>
      </c>
      <c r="W116" s="109">
        <v>1316.2279010000007</v>
      </c>
      <c r="X116" s="109">
        <v>2860.5312529999987</v>
      </c>
      <c r="Y116" s="109">
        <v>6476.6259089999985</v>
      </c>
      <c r="Z116" s="109">
        <v>6232</v>
      </c>
      <c r="AA116" s="109">
        <v>4497.6038419999986</v>
      </c>
      <c r="AB116" s="109">
        <v>5032.9744890000029</v>
      </c>
    </row>
    <row r="117" spans="2:28" ht="15.6">
      <c r="B117" s="71"/>
      <c r="C117" s="8"/>
      <c r="D117" s="8"/>
      <c r="E117" s="8"/>
      <c r="F117" s="8"/>
      <c r="G117" s="8"/>
      <c r="H117" s="8"/>
      <c r="I117" s="8"/>
      <c r="J117" s="8"/>
      <c r="K117" s="8"/>
      <c r="L117" s="8"/>
      <c r="M117" s="8"/>
      <c r="N117" s="8"/>
      <c r="O117" s="8"/>
      <c r="P117" s="8"/>
      <c r="Q117" s="8"/>
      <c r="R117" s="8"/>
      <c r="S117" s="8"/>
      <c r="T117" s="8"/>
      <c r="V117" s="328"/>
      <c r="W117" s="8"/>
      <c r="X117" s="8"/>
      <c r="Y117" s="8"/>
      <c r="Z117" s="8"/>
      <c r="AA117" s="8"/>
      <c r="AB117" s="8"/>
    </row>
    <row r="118" spans="2:28" ht="15.6">
      <c r="B118" s="72" t="s">
        <v>79</v>
      </c>
      <c r="C118" s="107">
        <v>196</v>
      </c>
      <c r="D118" s="107">
        <v>588</v>
      </c>
      <c r="E118" s="107">
        <v>111</v>
      </c>
      <c r="F118" s="107">
        <v>-68</v>
      </c>
      <c r="G118" s="107">
        <v>66</v>
      </c>
      <c r="H118" s="107">
        <v>54</v>
      </c>
      <c r="I118" s="107">
        <v>572</v>
      </c>
      <c r="J118" s="107">
        <v>-197</v>
      </c>
      <c r="K118" s="107">
        <v>294</v>
      </c>
      <c r="L118" s="107">
        <v>75</v>
      </c>
      <c r="M118" s="107">
        <v>-54</v>
      </c>
      <c r="N118" s="107">
        <v>198</v>
      </c>
      <c r="O118" s="107">
        <v>154</v>
      </c>
      <c r="P118" s="107">
        <v>-203.27058799999998</v>
      </c>
      <c r="Q118" s="107">
        <v>226.07336900000001</v>
      </c>
      <c r="R118" s="107">
        <v>-112.07336900000001</v>
      </c>
      <c r="S118" s="107">
        <v>691</v>
      </c>
      <c r="T118" s="107">
        <v>-769.22453099999996</v>
      </c>
      <c r="V118" s="38" t="s">
        <v>79</v>
      </c>
      <c r="W118" s="107">
        <v>264.200399</v>
      </c>
      <c r="X118" s="107">
        <v>-1124.4581410000001</v>
      </c>
      <c r="Y118" s="107">
        <v>1091.4949369999999</v>
      </c>
      <c r="Z118" s="107">
        <v>985</v>
      </c>
      <c r="AA118" s="107">
        <v>855.44757100000004</v>
      </c>
      <c r="AB118" s="107">
        <v>1227.0465959999997</v>
      </c>
    </row>
    <row r="119" spans="2:28" ht="15.6">
      <c r="B119" s="74" t="s">
        <v>82</v>
      </c>
      <c r="C119" s="109">
        <v>7128</v>
      </c>
      <c r="D119" s="109">
        <v>6475</v>
      </c>
      <c r="E119" s="109">
        <v>1679</v>
      </c>
      <c r="F119" s="109">
        <v>1430</v>
      </c>
      <c r="G119" s="109">
        <v>1388</v>
      </c>
      <c r="H119" s="109">
        <v>1552</v>
      </c>
      <c r="I119" s="109">
        <v>1548</v>
      </c>
      <c r="J119" s="109">
        <v>2212</v>
      </c>
      <c r="K119" s="109">
        <v>1695</v>
      </c>
      <c r="L119" s="109">
        <v>1631</v>
      </c>
      <c r="M119" s="109">
        <v>1550</v>
      </c>
      <c r="N119" s="109">
        <v>999</v>
      </c>
      <c r="O119" s="109">
        <v>656</v>
      </c>
      <c r="P119" s="109">
        <v>1280.0138309999998</v>
      </c>
      <c r="Q119" s="109">
        <f>+Q116+Q118</f>
        <v>1022.5468610000003</v>
      </c>
      <c r="R119" s="109">
        <v>1800.4531389999993</v>
      </c>
      <c r="S119" s="109">
        <v>3999</v>
      </c>
      <c r="T119" s="109">
        <v>1829.7511439999971</v>
      </c>
      <c r="V119" s="223" t="s">
        <v>82</v>
      </c>
      <c r="W119" s="109">
        <v>1052.0275020000006</v>
      </c>
      <c r="X119" s="109">
        <v>1736.0731119999987</v>
      </c>
      <c r="Y119" s="109">
        <v>5385.130971999999</v>
      </c>
      <c r="Z119" s="109">
        <v>5247</v>
      </c>
      <c r="AA119" s="109">
        <v>3642.1562709999985</v>
      </c>
      <c r="AB119" s="109">
        <v>3805.9278930000032</v>
      </c>
    </row>
    <row r="120" spans="2:28" ht="15.6">
      <c r="B120" s="132"/>
      <c r="C120" s="132"/>
      <c r="D120" s="132"/>
      <c r="E120" s="132"/>
      <c r="F120" s="132"/>
      <c r="G120" s="132"/>
      <c r="H120" s="132"/>
      <c r="I120" s="132"/>
      <c r="J120" s="132"/>
      <c r="K120" s="132"/>
      <c r="L120" s="132"/>
      <c r="M120" s="132"/>
      <c r="N120" s="132"/>
      <c r="O120" s="132"/>
      <c r="W120" s="535"/>
      <c r="X120" s="535"/>
      <c r="Z120" s="535"/>
      <c r="AA120" s="535"/>
      <c r="AB120" s="535"/>
    </row>
    <row r="121" spans="2:28" ht="15.6">
      <c r="B121" s="54" t="s">
        <v>482</v>
      </c>
      <c r="C121" s="132"/>
      <c r="D121" s="132"/>
      <c r="E121" s="132"/>
      <c r="F121" s="132"/>
      <c r="G121" s="132"/>
      <c r="H121" s="77"/>
      <c r="I121" s="77"/>
      <c r="J121" s="77"/>
      <c r="K121" s="77"/>
      <c r="L121" s="77"/>
      <c r="M121" s="77"/>
      <c r="N121" s="77"/>
      <c r="O121" s="77"/>
      <c r="V121" s="74" t="s">
        <v>84</v>
      </c>
      <c r="W121" s="109">
        <v>3275</v>
      </c>
      <c r="X121" s="109">
        <v>2829.7079709999989</v>
      </c>
      <c r="Y121" s="109">
        <v>6442.4079219999985</v>
      </c>
      <c r="Z121" s="109">
        <v>6185</v>
      </c>
      <c r="AA121" s="109">
        <v>4456.9425159999982</v>
      </c>
      <c r="AB121" s="109">
        <v>4980.7262440000031</v>
      </c>
    </row>
    <row r="122" spans="2:28" ht="15.6">
      <c r="B122" s="252" t="s">
        <v>478</v>
      </c>
      <c r="C122" s="132"/>
      <c r="D122" s="132"/>
      <c r="E122" s="132"/>
      <c r="F122" s="132"/>
      <c r="G122" s="132"/>
      <c r="H122" s="78"/>
      <c r="I122" s="78"/>
      <c r="J122" s="78"/>
      <c r="K122" s="78"/>
      <c r="L122" s="78"/>
      <c r="M122" s="78"/>
      <c r="N122" s="78"/>
      <c r="O122" s="78"/>
      <c r="W122" s="535"/>
      <c r="X122" s="535"/>
      <c r="Z122" s="535"/>
      <c r="AA122" s="535"/>
      <c r="AB122" s="535"/>
    </row>
    <row r="123" spans="2:28" ht="10.050000000000001" customHeight="1">
      <c r="B123" s="79"/>
      <c r="C123" s="132"/>
      <c r="D123" s="132"/>
      <c r="E123" s="132"/>
      <c r="F123" s="132"/>
      <c r="G123" s="132"/>
      <c r="H123" s="79"/>
      <c r="I123" s="79"/>
      <c r="J123" s="79"/>
      <c r="K123" s="79"/>
      <c r="L123" s="79"/>
      <c r="M123" s="79"/>
      <c r="N123" s="79"/>
      <c r="O123" s="79"/>
      <c r="W123" s="535"/>
      <c r="X123" s="535"/>
      <c r="Z123" s="535"/>
      <c r="AA123" s="535"/>
      <c r="AB123" s="535"/>
    </row>
    <row r="124" spans="2:28" ht="15.6" thickBot="1">
      <c r="B124" s="250"/>
      <c r="C124" s="251">
        <v>2016</v>
      </c>
      <c r="D124" s="251">
        <v>2017</v>
      </c>
      <c r="E124" s="251" t="s">
        <v>40</v>
      </c>
      <c r="F124" s="251" t="s">
        <v>41</v>
      </c>
      <c r="G124" s="251" t="s">
        <v>42</v>
      </c>
      <c r="H124" s="251" t="s">
        <v>43</v>
      </c>
      <c r="I124" s="251" t="s">
        <v>44</v>
      </c>
      <c r="J124" s="251" t="s">
        <v>45</v>
      </c>
      <c r="K124" s="251" t="s">
        <v>46</v>
      </c>
      <c r="L124" s="251" t="s">
        <v>47</v>
      </c>
      <c r="M124" s="251" t="s">
        <v>48</v>
      </c>
      <c r="N124" s="251" t="s">
        <v>49</v>
      </c>
      <c r="O124" s="251" t="s">
        <v>50</v>
      </c>
      <c r="P124" s="245" t="s">
        <v>51</v>
      </c>
      <c r="Q124" s="245" t="s">
        <v>52</v>
      </c>
      <c r="R124" s="245" t="s">
        <v>53</v>
      </c>
      <c r="S124" s="245" t="s">
        <v>54</v>
      </c>
      <c r="T124" s="245" t="s">
        <v>55</v>
      </c>
      <c r="V124" s="250"/>
      <c r="W124" s="536" t="s">
        <v>87</v>
      </c>
      <c r="X124" s="536" t="s">
        <v>56</v>
      </c>
      <c r="Y124" s="536" t="s">
        <v>57</v>
      </c>
      <c r="Z124" s="536" t="s">
        <v>1154</v>
      </c>
      <c r="AA124" s="536" t="str">
        <f>+AA6</f>
        <v>1T23</v>
      </c>
      <c r="AB124" s="536" t="s">
        <v>1207</v>
      </c>
    </row>
    <row r="125" spans="2:28" ht="15">
      <c r="B125" s="165" t="s">
        <v>88</v>
      </c>
      <c r="C125" s="166"/>
      <c r="D125" s="166"/>
      <c r="E125" s="166"/>
      <c r="F125" s="166"/>
      <c r="G125" s="166"/>
      <c r="H125" s="166"/>
      <c r="I125" s="166"/>
      <c r="J125" s="166"/>
      <c r="K125" s="166"/>
      <c r="L125" s="166"/>
      <c r="M125" s="166"/>
      <c r="N125" s="166"/>
      <c r="O125" s="166"/>
      <c r="P125" s="166"/>
      <c r="Q125" s="166"/>
      <c r="R125" s="166"/>
      <c r="S125" s="166"/>
      <c r="T125" s="166"/>
      <c r="V125" s="165" t="s">
        <v>88</v>
      </c>
      <c r="W125" s="537"/>
      <c r="X125" s="537"/>
      <c r="Y125" s="537"/>
      <c r="Z125" s="537"/>
      <c r="AA125" s="537"/>
      <c r="AB125" s="537"/>
    </row>
    <row r="126" spans="2:28" ht="15.6" thickBot="1">
      <c r="B126" s="167" t="s">
        <v>89</v>
      </c>
      <c r="C126" s="116"/>
      <c r="D126" s="116"/>
      <c r="E126" s="116"/>
      <c r="F126" s="116"/>
      <c r="G126" s="116"/>
      <c r="H126" s="116"/>
      <c r="I126" s="116"/>
      <c r="J126" s="116"/>
      <c r="K126" s="116"/>
      <c r="L126" s="116"/>
      <c r="M126" s="116"/>
      <c r="N126" s="116"/>
      <c r="O126" s="116"/>
      <c r="P126" s="116"/>
      <c r="Q126" s="116"/>
      <c r="R126" s="116"/>
      <c r="S126" s="116"/>
      <c r="T126" s="116"/>
      <c r="V126" s="167" t="s">
        <v>89</v>
      </c>
      <c r="W126" s="538"/>
      <c r="X126" s="538"/>
      <c r="Y126" s="85"/>
      <c r="Z126" s="85"/>
      <c r="AA126" s="85"/>
      <c r="AB126" s="85"/>
    </row>
    <row r="127" spans="2:28" ht="15.6">
      <c r="B127" s="184" t="s">
        <v>90</v>
      </c>
      <c r="C127" s="99">
        <v>17994</v>
      </c>
      <c r="D127" s="99">
        <v>15903</v>
      </c>
      <c r="E127" s="99">
        <v>21306</v>
      </c>
      <c r="F127" s="99">
        <v>32668</v>
      </c>
      <c r="G127" s="99">
        <v>19631</v>
      </c>
      <c r="H127" s="99">
        <v>25310</v>
      </c>
      <c r="I127" s="99">
        <v>25644</v>
      </c>
      <c r="J127" s="99">
        <v>20738</v>
      </c>
      <c r="K127" s="99">
        <v>16854</v>
      </c>
      <c r="L127" s="99">
        <v>22114</v>
      </c>
      <c r="M127" s="99">
        <v>19856</v>
      </c>
      <c r="N127" s="99">
        <v>18379</v>
      </c>
      <c r="O127" s="99">
        <v>12458</v>
      </c>
      <c r="P127" s="99">
        <v>15233.452464</v>
      </c>
      <c r="Q127" s="99">
        <v>23912.079430999998</v>
      </c>
      <c r="R127" s="99">
        <v>19790</v>
      </c>
      <c r="S127" s="99">
        <v>23376</v>
      </c>
      <c r="T127" s="99">
        <v>35463.253642000003</v>
      </c>
      <c r="V127" s="184" t="s">
        <v>90</v>
      </c>
      <c r="W127" s="99">
        <v>20272.018373999999</v>
      </c>
      <c r="X127" s="99">
        <v>23783.955461000001</v>
      </c>
      <c r="Y127" s="99">
        <v>22997.863212</v>
      </c>
      <c r="Z127" s="99">
        <v>33010</v>
      </c>
      <c r="AA127" s="99">
        <v>42651.534617999998</v>
      </c>
      <c r="AB127" s="610">
        <v>49062.061817000002</v>
      </c>
    </row>
    <row r="128" spans="2:28" ht="15.6">
      <c r="B128" s="184" t="s">
        <v>91</v>
      </c>
      <c r="C128" s="99">
        <v>58149</v>
      </c>
      <c r="D128" s="99">
        <v>65224</v>
      </c>
      <c r="E128" s="99">
        <v>61291</v>
      </c>
      <c r="F128" s="99">
        <v>55916</v>
      </c>
      <c r="G128" s="99">
        <v>58298</v>
      </c>
      <c r="H128" s="99">
        <v>64078</v>
      </c>
      <c r="I128" s="99">
        <v>62728</v>
      </c>
      <c r="J128" s="99">
        <v>68968</v>
      </c>
      <c r="K128" s="99">
        <v>63013</v>
      </c>
      <c r="L128" s="99">
        <v>68405</v>
      </c>
      <c r="M128" s="99">
        <v>67734</v>
      </c>
      <c r="N128" s="99">
        <v>72350</v>
      </c>
      <c r="O128" s="99">
        <v>58162</v>
      </c>
      <c r="P128" s="99">
        <v>67877.837167999998</v>
      </c>
      <c r="Q128" s="99">
        <f>56818.716581+4629.024334</f>
        <v>61447.740915000002</v>
      </c>
      <c r="R128" s="99">
        <v>65175</v>
      </c>
      <c r="S128" s="99">
        <v>66614</v>
      </c>
      <c r="T128" s="99">
        <v>75766.846728999997</v>
      </c>
      <c r="V128" s="184" t="s">
        <v>91</v>
      </c>
      <c r="W128" s="99">
        <v>75544.006196000002</v>
      </c>
      <c r="X128" s="99">
        <v>85874.798878000001</v>
      </c>
      <c r="Y128" s="99">
        <v>82308.408391999998</v>
      </c>
      <c r="Z128" s="99">
        <v>88773</v>
      </c>
      <c r="AA128" s="99">
        <v>90021.207156000004</v>
      </c>
      <c r="AB128" s="610">
        <v>73165.749075999993</v>
      </c>
    </row>
    <row r="129" spans="2:28" ht="15.6">
      <c r="B129" s="184" t="s">
        <v>92</v>
      </c>
      <c r="C129" s="99">
        <v>4</v>
      </c>
      <c r="D129" s="99">
        <v>6</v>
      </c>
      <c r="E129" s="99">
        <v>6</v>
      </c>
      <c r="F129" s="99">
        <v>6</v>
      </c>
      <c r="G129" s="99">
        <v>6</v>
      </c>
      <c r="H129" s="99">
        <v>6</v>
      </c>
      <c r="I129" s="99">
        <v>9</v>
      </c>
      <c r="J129" s="99">
        <v>9</v>
      </c>
      <c r="K129" s="99">
        <v>10</v>
      </c>
      <c r="L129" s="99">
        <v>10</v>
      </c>
      <c r="M129" s="99">
        <v>9</v>
      </c>
      <c r="N129" s="99">
        <v>577</v>
      </c>
      <c r="O129" s="99">
        <v>577</v>
      </c>
      <c r="P129" s="99">
        <v>580.93899899999997</v>
      </c>
      <c r="Q129" s="99">
        <v>580.93899899999997</v>
      </c>
      <c r="R129" s="99">
        <v>9</v>
      </c>
      <c r="S129" s="99">
        <v>9</v>
      </c>
      <c r="T129" s="99">
        <v>11.729425000000001</v>
      </c>
      <c r="V129" s="184" t="s">
        <v>92</v>
      </c>
      <c r="W129" s="99">
        <v>11.729425000000001</v>
      </c>
      <c r="X129" s="99">
        <v>11.729425000000001</v>
      </c>
      <c r="Y129" s="99">
        <v>11.729425000000001</v>
      </c>
      <c r="Z129" s="99">
        <v>17</v>
      </c>
      <c r="AA129" s="99">
        <v>16.632059999999999</v>
      </c>
      <c r="AB129" s="610">
        <v>11.458550000000001</v>
      </c>
    </row>
    <row r="130" spans="2:28" ht="15.6">
      <c r="B130" s="184" t="s">
        <v>94</v>
      </c>
      <c r="C130" s="99">
        <v>315</v>
      </c>
      <c r="D130" s="99">
        <v>264</v>
      </c>
      <c r="E130" s="99">
        <v>163</v>
      </c>
      <c r="F130" s="99">
        <v>613</v>
      </c>
      <c r="G130" s="99">
        <v>544</v>
      </c>
      <c r="H130" s="99">
        <v>422</v>
      </c>
      <c r="I130" s="99">
        <v>330</v>
      </c>
      <c r="J130" s="99">
        <v>275</v>
      </c>
      <c r="K130" s="99">
        <v>163</v>
      </c>
      <c r="L130" s="99">
        <v>455</v>
      </c>
      <c r="M130" s="99">
        <v>3956</v>
      </c>
      <c r="N130" s="99">
        <v>439</v>
      </c>
      <c r="O130" s="99">
        <v>271</v>
      </c>
      <c r="P130" s="99">
        <v>666.55438800000002</v>
      </c>
      <c r="Q130" s="99">
        <v>4659.0673079999997</v>
      </c>
      <c r="R130" s="99">
        <v>815</v>
      </c>
      <c r="S130" s="99">
        <v>614</v>
      </c>
      <c r="T130" s="99">
        <v>412.86484400000001</v>
      </c>
      <c r="V130" s="184" t="s">
        <v>94</v>
      </c>
      <c r="W130" s="99">
        <v>4457.9676479999998</v>
      </c>
      <c r="X130" s="99">
        <v>1214.41354</v>
      </c>
      <c r="Y130" s="99">
        <v>1096.9661329999999</v>
      </c>
      <c r="Z130" s="99">
        <v>903</v>
      </c>
      <c r="AA130" s="99">
        <v>5591.9038579999997</v>
      </c>
      <c r="AB130" s="610">
        <v>480.97914200000002</v>
      </c>
    </row>
    <row r="131" spans="2:28" ht="15.6">
      <c r="B131" s="184" t="s">
        <v>391</v>
      </c>
      <c r="C131" s="99">
        <v>0</v>
      </c>
      <c r="D131" s="99">
        <v>0</v>
      </c>
      <c r="E131" s="99">
        <v>0</v>
      </c>
      <c r="F131" s="99">
        <v>0</v>
      </c>
      <c r="G131" s="99">
        <v>0</v>
      </c>
      <c r="H131" s="99">
        <v>0</v>
      </c>
      <c r="I131" s="99">
        <v>0</v>
      </c>
      <c r="J131" s="99">
        <v>0</v>
      </c>
      <c r="K131" s="99">
        <v>0</v>
      </c>
      <c r="L131" s="99">
        <v>0</v>
      </c>
      <c r="M131" s="99">
        <v>0</v>
      </c>
      <c r="N131" s="99">
        <v>0</v>
      </c>
      <c r="O131" s="99">
        <v>0</v>
      </c>
      <c r="P131" s="99">
        <v>0</v>
      </c>
      <c r="Q131" s="99">
        <v>0</v>
      </c>
      <c r="R131" s="99">
        <v>0</v>
      </c>
      <c r="S131" s="99">
        <v>0</v>
      </c>
      <c r="T131" s="99">
        <v>0</v>
      </c>
      <c r="V131" s="184" t="s">
        <v>391</v>
      </c>
      <c r="W131" s="99">
        <v>0</v>
      </c>
      <c r="X131" s="99">
        <v>0</v>
      </c>
      <c r="Y131" s="99">
        <v>0</v>
      </c>
      <c r="Z131" s="99" t="s">
        <v>1155</v>
      </c>
      <c r="AA131" s="99"/>
      <c r="AB131" s="610">
        <v>0</v>
      </c>
    </row>
    <row r="132" spans="2:28" ht="15.6">
      <c r="B132" s="184" t="s">
        <v>95</v>
      </c>
      <c r="C132" s="99">
        <v>0</v>
      </c>
      <c r="D132" s="99">
        <v>0</v>
      </c>
      <c r="E132" s="99">
        <v>0</v>
      </c>
      <c r="F132" s="99">
        <v>0</v>
      </c>
      <c r="G132" s="99">
        <v>0</v>
      </c>
      <c r="H132" s="99">
        <v>0</v>
      </c>
      <c r="I132" s="99">
        <v>0</v>
      </c>
      <c r="J132" s="99">
        <v>0</v>
      </c>
      <c r="K132" s="99">
        <v>0</v>
      </c>
      <c r="L132" s="99">
        <v>0</v>
      </c>
      <c r="M132" s="99">
        <v>0</v>
      </c>
      <c r="N132" s="99">
        <v>0</v>
      </c>
      <c r="O132" s="99">
        <v>0</v>
      </c>
      <c r="P132" s="99">
        <v>0</v>
      </c>
      <c r="Q132" s="99">
        <v>0</v>
      </c>
      <c r="R132" s="99">
        <v>0</v>
      </c>
      <c r="S132" s="99">
        <v>0</v>
      </c>
      <c r="T132" s="99">
        <v>0</v>
      </c>
      <c r="V132" s="184" t="s">
        <v>95</v>
      </c>
      <c r="W132" s="99">
        <v>0</v>
      </c>
      <c r="X132" s="99">
        <v>0</v>
      </c>
      <c r="Y132" s="99">
        <v>0</v>
      </c>
      <c r="Z132" s="99" t="s">
        <v>1155</v>
      </c>
      <c r="AA132" s="99"/>
      <c r="AB132" s="610">
        <v>0</v>
      </c>
    </row>
    <row r="133" spans="2:28" ht="15">
      <c r="B133" s="121" t="s">
        <v>96</v>
      </c>
      <c r="C133" s="171">
        <v>76462</v>
      </c>
      <c r="D133" s="171">
        <v>81397</v>
      </c>
      <c r="E133" s="171">
        <v>82766</v>
      </c>
      <c r="F133" s="171">
        <v>89203</v>
      </c>
      <c r="G133" s="171">
        <v>78479</v>
      </c>
      <c r="H133" s="171">
        <v>89816</v>
      </c>
      <c r="I133" s="171">
        <v>88711</v>
      </c>
      <c r="J133" s="171">
        <v>89990</v>
      </c>
      <c r="K133" s="171">
        <v>80040</v>
      </c>
      <c r="L133" s="171">
        <v>90984</v>
      </c>
      <c r="M133" s="171">
        <v>91555</v>
      </c>
      <c r="N133" s="171">
        <v>91745</v>
      </c>
      <c r="O133" s="171">
        <v>71468</v>
      </c>
      <c r="P133" s="171">
        <f>SUM(P127:P132)</f>
        <v>84358.78301900001</v>
      </c>
      <c r="Q133" s="171">
        <f>SUM(Q127:Q132)</f>
        <v>90599.826652999996</v>
      </c>
      <c r="R133" s="171">
        <v>85789</v>
      </c>
      <c r="S133" s="171">
        <v>90613</v>
      </c>
      <c r="T133" s="171">
        <v>111654.69464</v>
      </c>
      <c r="V133" s="121" t="s">
        <v>96</v>
      </c>
      <c r="W133" s="541">
        <v>100285.72164300001</v>
      </c>
      <c r="X133" s="541">
        <v>110884.897304</v>
      </c>
      <c r="Y133" s="541">
        <v>106414.96716199999</v>
      </c>
      <c r="Z133" s="541">
        <v>122702</v>
      </c>
      <c r="AA133" s="541">
        <f>SUM(AA127:AA130)</f>
        <v>138281.277692</v>
      </c>
      <c r="AB133" s="541">
        <v>122720.24858499998</v>
      </c>
    </row>
    <row r="134" spans="2:28" ht="15">
      <c r="B134" s="167" t="s">
        <v>97</v>
      </c>
      <c r="C134" s="168"/>
      <c r="D134" s="168"/>
      <c r="E134" s="168"/>
      <c r="F134" s="168"/>
      <c r="G134" s="168"/>
      <c r="H134" s="168"/>
      <c r="I134" s="168"/>
      <c r="J134" s="168"/>
      <c r="K134" s="168"/>
      <c r="L134" s="168"/>
      <c r="M134" s="168"/>
      <c r="N134" s="168"/>
      <c r="O134" s="168"/>
      <c r="P134" s="168"/>
      <c r="Q134" s="168"/>
      <c r="R134" s="168"/>
      <c r="S134" s="168"/>
      <c r="T134" s="168"/>
      <c r="V134" s="167" t="s">
        <v>97</v>
      </c>
      <c r="W134" s="519"/>
      <c r="X134" s="519"/>
      <c r="Y134" s="519"/>
      <c r="Z134" s="519"/>
      <c r="AA134" s="519"/>
      <c r="AB134" s="519"/>
    </row>
    <row r="135" spans="2:28" ht="15.6">
      <c r="B135" s="184" t="s">
        <v>98</v>
      </c>
      <c r="C135" s="99">
        <v>0</v>
      </c>
      <c r="D135" s="99">
        <v>0</v>
      </c>
      <c r="E135" s="99">
        <v>0</v>
      </c>
      <c r="F135" s="99">
        <v>0</v>
      </c>
      <c r="G135" s="99">
        <v>0</v>
      </c>
      <c r="H135" s="99">
        <v>0</v>
      </c>
      <c r="I135" s="99">
        <v>0</v>
      </c>
      <c r="J135" s="99">
        <v>0</v>
      </c>
      <c r="K135" s="99">
        <v>0</v>
      </c>
      <c r="L135" s="99">
        <v>0</v>
      </c>
      <c r="M135" s="99">
        <v>0</v>
      </c>
      <c r="N135" s="99">
        <v>0</v>
      </c>
      <c r="O135" s="99">
        <v>0</v>
      </c>
      <c r="P135" s="99">
        <v>0</v>
      </c>
      <c r="Q135" s="99">
        <v>0</v>
      </c>
      <c r="R135" s="99">
        <v>0</v>
      </c>
      <c r="S135" s="99">
        <v>0</v>
      </c>
      <c r="T135" s="99">
        <v>0</v>
      </c>
      <c r="V135" s="184" t="s">
        <v>98</v>
      </c>
      <c r="W135" s="99">
        <v>0</v>
      </c>
      <c r="X135" s="99">
        <v>0</v>
      </c>
      <c r="Y135" s="99">
        <v>0</v>
      </c>
      <c r="Z135" s="99" t="s">
        <v>1155</v>
      </c>
      <c r="AA135" s="99">
        <v>0</v>
      </c>
      <c r="AB135" s="542">
        <v>0</v>
      </c>
    </row>
    <row r="136" spans="2:28" ht="15.6">
      <c r="B136" s="184" t="s">
        <v>99</v>
      </c>
      <c r="C136" s="99">
        <v>0</v>
      </c>
      <c r="D136" s="99">
        <v>0</v>
      </c>
      <c r="E136" s="99">
        <v>0</v>
      </c>
      <c r="F136" s="99">
        <v>0</v>
      </c>
      <c r="G136" s="99">
        <v>0</v>
      </c>
      <c r="H136" s="99">
        <v>0</v>
      </c>
      <c r="I136" s="99">
        <v>0</v>
      </c>
      <c r="J136" s="99">
        <v>0</v>
      </c>
      <c r="K136" s="99">
        <v>0</v>
      </c>
      <c r="L136" s="99">
        <v>0</v>
      </c>
      <c r="M136" s="99">
        <v>0</v>
      </c>
      <c r="N136" s="99">
        <v>0</v>
      </c>
      <c r="O136" s="99">
        <v>0</v>
      </c>
      <c r="P136" s="99">
        <v>0</v>
      </c>
      <c r="Q136" s="99">
        <v>0</v>
      </c>
      <c r="R136" s="99">
        <v>0</v>
      </c>
      <c r="S136" s="99">
        <v>0</v>
      </c>
      <c r="T136" s="99">
        <v>0</v>
      </c>
      <c r="V136" s="184" t="s">
        <v>99</v>
      </c>
      <c r="W136" s="99">
        <v>0</v>
      </c>
      <c r="X136" s="99">
        <v>0</v>
      </c>
      <c r="Y136" s="99">
        <v>0</v>
      </c>
      <c r="Z136" s="99" t="s">
        <v>1155</v>
      </c>
      <c r="AA136" s="99">
        <v>0</v>
      </c>
      <c r="AB136" s="542">
        <v>0</v>
      </c>
    </row>
    <row r="137" spans="2:28" ht="30">
      <c r="B137" s="184" t="s">
        <v>150</v>
      </c>
      <c r="C137" s="99">
        <v>0</v>
      </c>
      <c r="D137" s="99">
        <v>0</v>
      </c>
      <c r="E137" s="99">
        <v>0</v>
      </c>
      <c r="F137" s="99">
        <v>0</v>
      </c>
      <c r="G137" s="99">
        <v>0</v>
      </c>
      <c r="H137" s="99">
        <v>0</v>
      </c>
      <c r="I137" s="99">
        <v>0</v>
      </c>
      <c r="J137" s="99">
        <v>0</v>
      </c>
      <c r="K137" s="99">
        <v>0</v>
      </c>
      <c r="L137" s="99">
        <v>0</v>
      </c>
      <c r="M137" s="99">
        <v>0</v>
      </c>
      <c r="N137" s="99">
        <v>0</v>
      </c>
      <c r="O137" s="99">
        <v>0</v>
      </c>
      <c r="P137" s="99">
        <v>0</v>
      </c>
      <c r="Q137" s="99">
        <v>0</v>
      </c>
      <c r="R137" s="99">
        <v>0</v>
      </c>
      <c r="S137" s="99">
        <v>0</v>
      </c>
      <c r="T137" s="99">
        <v>0</v>
      </c>
      <c r="V137" s="184" t="s">
        <v>150</v>
      </c>
      <c r="W137" s="99">
        <v>0</v>
      </c>
      <c r="X137" s="99">
        <v>0</v>
      </c>
      <c r="Y137" s="99">
        <v>0</v>
      </c>
      <c r="Z137" s="99" t="s">
        <v>1155</v>
      </c>
      <c r="AA137" s="99">
        <v>0</v>
      </c>
      <c r="AB137" s="542">
        <v>0</v>
      </c>
    </row>
    <row r="138" spans="2:28" ht="15.6">
      <c r="B138" s="184" t="s">
        <v>151</v>
      </c>
      <c r="C138" s="99">
        <v>0</v>
      </c>
      <c r="D138" s="99">
        <v>0</v>
      </c>
      <c r="E138" s="99">
        <v>0</v>
      </c>
      <c r="F138" s="99">
        <v>0</v>
      </c>
      <c r="G138" s="99">
        <v>0</v>
      </c>
      <c r="H138" s="99">
        <v>0</v>
      </c>
      <c r="I138" s="99">
        <v>0</v>
      </c>
      <c r="J138" s="99">
        <v>0</v>
      </c>
      <c r="K138" s="99">
        <v>0</v>
      </c>
      <c r="L138" s="99">
        <v>0</v>
      </c>
      <c r="M138" s="99">
        <v>0</v>
      </c>
      <c r="N138" s="99">
        <v>0</v>
      </c>
      <c r="O138" s="99">
        <v>0</v>
      </c>
      <c r="P138" s="99">
        <v>0</v>
      </c>
      <c r="Q138" s="99">
        <v>0</v>
      </c>
      <c r="R138" s="99">
        <v>0</v>
      </c>
      <c r="S138" s="99">
        <v>0</v>
      </c>
      <c r="T138" s="99">
        <v>0</v>
      </c>
      <c r="V138" s="184" t="s">
        <v>151</v>
      </c>
      <c r="W138" s="99">
        <v>0</v>
      </c>
      <c r="X138" s="99">
        <v>0</v>
      </c>
      <c r="Y138" s="99">
        <v>0</v>
      </c>
      <c r="Z138" s="99" t="s">
        <v>1155</v>
      </c>
      <c r="AA138" s="99">
        <v>0</v>
      </c>
      <c r="AB138" s="542">
        <v>0</v>
      </c>
    </row>
    <row r="139" spans="2:28" ht="15.6">
      <c r="B139" s="184" t="s">
        <v>91</v>
      </c>
      <c r="C139" s="99">
        <v>182000</v>
      </c>
      <c r="D139" s="99">
        <v>162376</v>
      </c>
      <c r="E139" s="99">
        <v>150789</v>
      </c>
      <c r="F139" s="99">
        <v>145668</v>
      </c>
      <c r="G139" s="99">
        <v>141484</v>
      </c>
      <c r="H139" s="99">
        <v>132927</v>
      </c>
      <c r="I139" s="99">
        <v>123926</v>
      </c>
      <c r="J139" s="99">
        <v>119778</v>
      </c>
      <c r="K139" s="99">
        <v>112822</v>
      </c>
      <c r="L139" s="99">
        <v>107777</v>
      </c>
      <c r="M139" s="99">
        <v>94637</v>
      </c>
      <c r="N139" s="99">
        <v>93251</v>
      </c>
      <c r="O139" s="99">
        <v>94262</v>
      </c>
      <c r="P139" s="99">
        <v>87898.453836000001</v>
      </c>
      <c r="Q139" s="99">
        <v>76170.717174000005</v>
      </c>
      <c r="R139" s="99">
        <v>70484</v>
      </c>
      <c r="S139" s="99">
        <v>58514</v>
      </c>
      <c r="T139" s="99">
        <v>44882.193113000001</v>
      </c>
      <c r="V139" s="184" t="s">
        <v>91</v>
      </c>
      <c r="W139" s="99">
        <v>29227.476072000001</v>
      </c>
      <c r="X139" s="99">
        <v>27812.362980999998</v>
      </c>
      <c r="Y139" s="99">
        <v>26970.229842000001</v>
      </c>
      <c r="Z139" s="99">
        <v>34335</v>
      </c>
      <c r="AA139" s="99">
        <v>30437.706902000002</v>
      </c>
      <c r="AB139" s="542">
        <v>47352.907758000001</v>
      </c>
    </row>
    <row r="140" spans="2:28" ht="15.6">
      <c r="B140" s="184" t="s">
        <v>102</v>
      </c>
      <c r="C140" s="99">
        <v>0</v>
      </c>
      <c r="D140" s="99">
        <v>0</v>
      </c>
      <c r="E140" s="99">
        <v>0</v>
      </c>
      <c r="F140" s="99">
        <v>0</v>
      </c>
      <c r="G140" s="99">
        <v>0</v>
      </c>
      <c r="H140" s="99">
        <v>0</v>
      </c>
      <c r="I140" s="99">
        <v>0</v>
      </c>
      <c r="J140" s="99">
        <v>0</v>
      </c>
      <c r="K140" s="99">
        <v>0</v>
      </c>
      <c r="L140" s="99">
        <v>0</v>
      </c>
      <c r="M140" s="99">
        <v>0</v>
      </c>
      <c r="N140" s="99">
        <v>0</v>
      </c>
      <c r="O140" s="99">
        <v>0</v>
      </c>
      <c r="P140" s="99">
        <v>0</v>
      </c>
      <c r="Q140" s="99">
        <v>0</v>
      </c>
      <c r="R140" s="99">
        <v>0</v>
      </c>
      <c r="S140" s="99">
        <v>0</v>
      </c>
      <c r="T140" s="99">
        <v>0</v>
      </c>
      <c r="V140" s="184" t="s">
        <v>102</v>
      </c>
      <c r="W140" s="99">
        <v>0</v>
      </c>
      <c r="X140" s="99">
        <v>0</v>
      </c>
      <c r="Y140" s="99">
        <v>0</v>
      </c>
      <c r="Z140" s="99" t="s">
        <v>1155</v>
      </c>
      <c r="AA140" s="99">
        <v>0</v>
      </c>
      <c r="AB140" s="542">
        <v>0</v>
      </c>
    </row>
    <row r="141" spans="2:28" ht="15.6">
      <c r="B141" s="184" t="s">
        <v>103</v>
      </c>
      <c r="C141" s="99">
        <v>80</v>
      </c>
      <c r="D141" s="99">
        <v>117</v>
      </c>
      <c r="E141" s="99">
        <v>105</v>
      </c>
      <c r="F141" s="99">
        <v>94</v>
      </c>
      <c r="G141" s="99">
        <v>84</v>
      </c>
      <c r="H141" s="99">
        <v>90</v>
      </c>
      <c r="I141" s="99">
        <v>158</v>
      </c>
      <c r="J141" s="99">
        <v>80</v>
      </c>
      <c r="K141" s="99">
        <v>91</v>
      </c>
      <c r="L141" s="99">
        <v>86</v>
      </c>
      <c r="M141" s="99">
        <v>84</v>
      </c>
      <c r="N141" s="99">
        <v>78</v>
      </c>
      <c r="O141" s="99">
        <v>71</v>
      </c>
      <c r="P141" s="99">
        <v>69.724816000000004</v>
      </c>
      <c r="Q141" s="99">
        <v>63.521501000000001</v>
      </c>
      <c r="R141" s="99">
        <v>61</v>
      </c>
      <c r="S141" s="99">
        <v>55</v>
      </c>
      <c r="T141" s="99">
        <v>78.431941000000009</v>
      </c>
      <c r="V141" s="184" t="s">
        <v>103</v>
      </c>
      <c r="W141" s="99">
        <v>75.114807999999996</v>
      </c>
      <c r="X141" s="99">
        <v>67.044551999999996</v>
      </c>
      <c r="Y141" s="99">
        <v>171.98390000000001</v>
      </c>
      <c r="Z141" s="99">
        <v>273</v>
      </c>
      <c r="AA141" s="99">
        <v>256.59458999999998</v>
      </c>
      <c r="AB141" s="542">
        <v>238.86225099999999</v>
      </c>
    </row>
    <row r="142" spans="2:28" ht="15.6">
      <c r="B142" s="184" t="s">
        <v>104</v>
      </c>
      <c r="C142" s="99">
        <v>0</v>
      </c>
      <c r="D142" s="99">
        <v>0</v>
      </c>
      <c r="E142" s="99">
        <v>0</v>
      </c>
      <c r="F142" s="99">
        <v>0</v>
      </c>
      <c r="G142" s="99">
        <v>0</v>
      </c>
      <c r="H142" s="99">
        <v>0</v>
      </c>
      <c r="I142" s="99">
        <v>0</v>
      </c>
      <c r="J142" s="99">
        <v>0</v>
      </c>
      <c r="K142" s="99">
        <v>0</v>
      </c>
      <c r="L142" s="99">
        <v>0</v>
      </c>
      <c r="M142" s="99">
        <v>0</v>
      </c>
      <c r="N142" s="99">
        <v>0</v>
      </c>
      <c r="O142" s="99">
        <v>0</v>
      </c>
      <c r="P142" s="99">
        <v>0</v>
      </c>
      <c r="Q142" s="99">
        <v>0</v>
      </c>
      <c r="R142" s="99">
        <v>0</v>
      </c>
      <c r="S142" s="99">
        <v>0</v>
      </c>
      <c r="T142" s="99">
        <v>0</v>
      </c>
      <c r="V142" s="184" t="s">
        <v>104</v>
      </c>
      <c r="W142" s="99">
        <v>0</v>
      </c>
      <c r="X142" s="99">
        <v>0</v>
      </c>
      <c r="Y142" s="99">
        <v>0</v>
      </c>
      <c r="Z142" s="99" t="s">
        <v>1155</v>
      </c>
      <c r="AA142" s="99">
        <v>0</v>
      </c>
      <c r="AB142" s="542">
        <v>0</v>
      </c>
    </row>
    <row r="143" spans="2:28" ht="15.6">
      <c r="B143" s="184" t="s">
        <v>106</v>
      </c>
      <c r="C143" s="99">
        <v>115</v>
      </c>
      <c r="D143" s="99">
        <v>219</v>
      </c>
      <c r="E143" s="99">
        <v>209</v>
      </c>
      <c r="F143" s="99">
        <v>199</v>
      </c>
      <c r="G143" s="99">
        <v>197</v>
      </c>
      <c r="H143" s="99">
        <v>186</v>
      </c>
      <c r="I143" s="99">
        <v>199</v>
      </c>
      <c r="J143" s="99">
        <v>188</v>
      </c>
      <c r="K143" s="99">
        <v>177</v>
      </c>
      <c r="L143" s="99">
        <v>166</v>
      </c>
      <c r="M143" s="99">
        <v>167</v>
      </c>
      <c r="N143" s="99">
        <v>153</v>
      </c>
      <c r="O143" s="99">
        <v>138</v>
      </c>
      <c r="P143" s="99">
        <v>123.46214999999999</v>
      </c>
      <c r="Q143" s="99">
        <v>110.052351</v>
      </c>
      <c r="R143" s="99">
        <v>99</v>
      </c>
      <c r="S143" s="99">
        <v>88</v>
      </c>
      <c r="T143" s="99">
        <v>76.529155000000003</v>
      </c>
      <c r="V143" s="184" t="s">
        <v>106</v>
      </c>
      <c r="W143" s="99">
        <v>67.134772999999996</v>
      </c>
      <c r="X143" s="99">
        <v>55.426366000000002</v>
      </c>
      <c r="Y143" s="99">
        <v>43.717962</v>
      </c>
      <c r="Z143" s="99">
        <v>32</v>
      </c>
      <c r="AA143" s="99">
        <v>23.581851</v>
      </c>
      <c r="AB143" s="542">
        <v>17.579077000000002</v>
      </c>
    </row>
    <row r="144" spans="2:28" ht="15.6">
      <c r="B144" s="184" t="s">
        <v>94</v>
      </c>
      <c r="C144" s="99">
        <v>0</v>
      </c>
      <c r="D144" s="99">
        <v>0</v>
      </c>
      <c r="E144" s="99">
        <v>0</v>
      </c>
      <c r="F144" s="99">
        <v>0</v>
      </c>
      <c r="G144" s="99">
        <v>0</v>
      </c>
      <c r="H144" s="99">
        <v>0</v>
      </c>
      <c r="I144" s="99">
        <v>0</v>
      </c>
      <c r="J144" s="99">
        <v>0</v>
      </c>
      <c r="K144" s="99">
        <v>0</v>
      </c>
      <c r="L144" s="99">
        <v>0</v>
      </c>
      <c r="M144" s="99">
        <v>0</v>
      </c>
      <c r="N144" s="99">
        <v>0</v>
      </c>
      <c r="O144" s="99">
        <v>0</v>
      </c>
      <c r="P144" s="99">
        <v>0</v>
      </c>
      <c r="Q144" s="99">
        <v>0</v>
      </c>
      <c r="R144" s="99">
        <v>0</v>
      </c>
      <c r="S144" s="99">
        <v>0</v>
      </c>
      <c r="T144" s="99">
        <v>0</v>
      </c>
      <c r="V144" s="184" t="s">
        <v>94</v>
      </c>
      <c r="W144" s="99">
        <v>0</v>
      </c>
      <c r="X144" s="99">
        <v>0</v>
      </c>
      <c r="Y144" s="99">
        <v>0</v>
      </c>
      <c r="Z144" s="99" t="s">
        <v>1155</v>
      </c>
      <c r="AA144" s="99">
        <v>0</v>
      </c>
      <c r="AB144" s="542">
        <v>0</v>
      </c>
    </row>
    <row r="145" spans="2:28" ht="15.6">
      <c r="B145" s="184" t="s">
        <v>107</v>
      </c>
      <c r="C145" s="99">
        <v>6464</v>
      </c>
      <c r="D145" s="99">
        <v>5876</v>
      </c>
      <c r="E145" s="99">
        <v>5765</v>
      </c>
      <c r="F145" s="99">
        <v>5833</v>
      </c>
      <c r="G145" s="99">
        <v>5766</v>
      </c>
      <c r="H145" s="99">
        <v>5713</v>
      </c>
      <c r="I145" s="99">
        <v>5140</v>
      </c>
      <c r="J145" s="99">
        <v>5338</v>
      </c>
      <c r="K145" s="99">
        <v>5044</v>
      </c>
      <c r="L145" s="99">
        <v>4969</v>
      </c>
      <c r="M145" s="99">
        <v>5023</v>
      </c>
      <c r="N145" s="99">
        <v>4825</v>
      </c>
      <c r="O145" s="99">
        <v>4670</v>
      </c>
      <c r="P145" s="99">
        <v>4873.5888189999996</v>
      </c>
      <c r="Q145" s="99">
        <v>5099.6621880000002</v>
      </c>
      <c r="R145" s="99">
        <v>4988</v>
      </c>
      <c r="S145" s="99">
        <v>5678</v>
      </c>
      <c r="T145" s="99">
        <v>5489.4782880000002</v>
      </c>
      <c r="V145" s="184" t="s">
        <v>107</v>
      </c>
      <c r="W145" s="99">
        <v>4645.1638890000004</v>
      </c>
      <c r="X145" s="99">
        <v>5769.6220300000004</v>
      </c>
      <c r="Y145" s="99">
        <v>4678.1270930000001</v>
      </c>
      <c r="Z145" s="99">
        <v>3693</v>
      </c>
      <c r="AA145" s="99">
        <v>2837.9064010000002</v>
      </c>
      <c r="AB145" s="542">
        <v>1610.8598050000001</v>
      </c>
    </row>
    <row r="146" spans="2:28" ht="15.6">
      <c r="B146" s="184" t="s">
        <v>108</v>
      </c>
      <c r="C146" s="99">
        <v>0</v>
      </c>
      <c r="D146" s="99">
        <v>0</v>
      </c>
      <c r="E146" s="99">
        <v>0</v>
      </c>
      <c r="F146" s="99">
        <v>0</v>
      </c>
      <c r="G146" s="99">
        <v>0</v>
      </c>
      <c r="H146" s="99">
        <v>0</v>
      </c>
      <c r="I146" s="99">
        <v>-5</v>
      </c>
      <c r="J146" s="99">
        <v>171</v>
      </c>
      <c r="K146" s="99">
        <v>156</v>
      </c>
      <c r="L146" s="99">
        <v>141</v>
      </c>
      <c r="M146" s="99">
        <v>125</v>
      </c>
      <c r="N146" s="99">
        <v>112</v>
      </c>
      <c r="O146" s="99">
        <v>99</v>
      </c>
      <c r="P146" s="99">
        <v>86.242311999999998</v>
      </c>
      <c r="Q146" s="99">
        <v>98.383752000000001</v>
      </c>
      <c r="R146" s="99">
        <v>86</v>
      </c>
      <c r="S146" s="99">
        <v>74</v>
      </c>
      <c r="T146" s="99">
        <v>81.846199999999996</v>
      </c>
      <c r="V146" s="184" t="s">
        <v>108</v>
      </c>
      <c r="W146" s="99">
        <v>76.443016</v>
      </c>
      <c r="X146" s="99">
        <v>68.607738999999995</v>
      </c>
      <c r="Y146" s="99">
        <v>117.408694</v>
      </c>
      <c r="Z146" s="99">
        <v>111</v>
      </c>
      <c r="AA146" s="99">
        <v>97.383662999999999</v>
      </c>
      <c r="AB146" s="542">
        <v>95.724711999999997</v>
      </c>
    </row>
    <row r="147" spans="2:28" ht="15.6">
      <c r="B147" s="184" t="s">
        <v>95</v>
      </c>
      <c r="C147" s="99">
        <v>0</v>
      </c>
      <c r="D147" s="99">
        <v>0</v>
      </c>
      <c r="E147" s="99">
        <v>0</v>
      </c>
      <c r="F147" s="99">
        <v>0</v>
      </c>
      <c r="G147" s="99">
        <v>0</v>
      </c>
      <c r="H147" s="99">
        <v>0</v>
      </c>
      <c r="I147" s="99">
        <v>0</v>
      </c>
      <c r="J147" s="99">
        <v>0</v>
      </c>
      <c r="K147" s="99">
        <v>0</v>
      </c>
      <c r="L147" s="99">
        <v>0</v>
      </c>
      <c r="M147" s="99">
        <v>0</v>
      </c>
      <c r="N147" s="99">
        <v>0</v>
      </c>
      <c r="O147" s="99">
        <v>0</v>
      </c>
      <c r="P147" s="99">
        <v>0</v>
      </c>
      <c r="Q147" s="99">
        <v>0</v>
      </c>
      <c r="R147" s="99">
        <v>0</v>
      </c>
      <c r="S147" s="99">
        <v>0</v>
      </c>
      <c r="T147" s="99">
        <v>0</v>
      </c>
      <c r="V147" s="184" t="s">
        <v>95</v>
      </c>
      <c r="W147" s="99">
        <v>0</v>
      </c>
      <c r="X147" s="99">
        <v>0</v>
      </c>
      <c r="Y147" s="99">
        <v>0</v>
      </c>
      <c r="Z147" s="99" t="s">
        <v>1155</v>
      </c>
      <c r="AA147" s="99">
        <v>0</v>
      </c>
      <c r="AB147" s="542">
        <v>0</v>
      </c>
    </row>
    <row r="148" spans="2:28" ht="15">
      <c r="B148" s="167" t="s">
        <v>110</v>
      </c>
      <c r="C148" s="172">
        <v>188659</v>
      </c>
      <c r="D148" s="172">
        <v>168588</v>
      </c>
      <c r="E148" s="172">
        <v>156868</v>
      </c>
      <c r="F148" s="172">
        <v>151794</v>
      </c>
      <c r="G148" s="172">
        <v>147531</v>
      </c>
      <c r="H148" s="172">
        <v>138916</v>
      </c>
      <c r="I148" s="172">
        <v>129418</v>
      </c>
      <c r="J148" s="172">
        <v>125555</v>
      </c>
      <c r="K148" s="172">
        <v>118290</v>
      </c>
      <c r="L148" s="172">
        <v>113139</v>
      </c>
      <c r="M148" s="172">
        <v>100036</v>
      </c>
      <c r="N148" s="172">
        <v>98419</v>
      </c>
      <c r="O148" s="172">
        <v>99240</v>
      </c>
      <c r="P148" s="172">
        <f>SUM(P135:P147)</f>
        <v>93051.471933000008</v>
      </c>
      <c r="Q148" s="172">
        <f>SUM(Q135:Q147)</f>
        <v>81542.336966000003</v>
      </c>
      <c r="R148" s="172">
        <v>75718</v>
      </c>
      <c r="S148" s="172">
        <v>64409</v>
      </c>
      <c r="T148" s="172">
        <v>50608.478696999999</v>
      </c>
      <c r="V148" s="167" t="s">
        <v>110</v>
      </c>
      <c r="W148" s="543">
        <v>34091.332558000002</v>
      </c>
      <c r="X148" s="543">
        <v>33773.063667999995</v>
      </c>
      <c r="Y148" s="543">
        <v>31981.467490999999</v>
      </c>
      <c r="Z148" s="543">
        <v>38444</v>
      </c>
      <c r="AA148" s="543">
        <v>33653.173407000002</v>
      </c>
      <c r="AB148" s="543">
        <v>49315.933603000005</v>
      </c>
    </row>
    <row r="149" spans="2:28" ht="15">
      <c r="B149" s="121" t="s">
        <v>111</v>
      </c>
      <c r="C149" s="171">
        <v>265121</v>
      </c>
      <c r="D149" s="171">
        <v>249985</v>
      </c>
      <c r="E149" s="171">
        <v>239634</v>
      </c>
      <c r="F149" s="171">
        <v>240997</v>
      </c>
      <c r="G149" s="171">
        <v>226010</v>
      </c>
      <c r="H149" s="171">
        <v>228732</v>
      </c>
      <c r="I149" s="171">
        <v>218129</v>
      </c>
      <c r="J149" s="171">
        <v>215545</v>
      </c>
      <c r="K149" s="171">
        <v>198330</v>
      </c>
      <c r="L149" s="171">
        <v>204123</v>
      </c>
      <c r="M149" s="171">
        <v>191591</v>
      </c>
      <c r="N149" s="171">
        <v>190164</v>
      </c>
      <c r="O149" s="171">
        <v>170708</v>
      </c>
      <c r="P149" s="171">
        <f>+P133+P148</f>
        <v>177410.25495200002</v>
      </c>
      <c r="Q149" s="171">
        <f>+Q133+Q148</f>
        <v>172142.163619</v>
      </c>
      <c r="R149" s="171">
        <v>161507</v>
      </c>
      <c r="S149" s="171">
        <v>155022</v>
      </c>
      <c r="T149" s="171">
        <v>162263.17333700001</v>
      </c>
      <c r="V149" s="121" t="s">
        <v>111</v>
      </c>
      <c r="W149" s="541">
        <v>134377.05420100002</v>
      </c>
      <c r="X149" s="541">
        <v>144657.960972</v>
      </c>
      <c r="Y149" s="541">
        <v>138396.43465299997</v>
      </c>
      <c r="Z149" s="541">
        <v>161146</v>
      </c>
      <c r="AA149" s="541">
        <v>171934.451099</v>
      </c>
      <c r="AB149" s="541">
        <v>172036.18218799998</v>
      </c>
    </row>
    <row r="150" spans="2:28" ht="15">
      <c r="B150" s="123"/>
      <c r="C150" s="173"/>
      <c r="D150" s="173"/>
      <c r="E150" s="173"/>
      <c r="F150" s="173"/>
      <c r="G150" s="173"/>
      <c r="H150" s="173"/>
      <c r="I150" s="173"/>
      <c r="J150" s="173"/>
      <c r="K150" s="173"/>
      <c r="L150" s="173"/>
      <c r="M150" s="173"/>
      <c r="N150" s="173"/>
      <c r="O150" s="173"/>
      <c r="P150" s="173"/>
      <c r="Q150" s="173"/>
      <c r="R150" s="173"/>
      <c r="S150" s="173">
        <v>0</v>
      </c>
      <c r="T150" s="173"/>
      <c r="V150" s="123"/>
      <c r="W150" s="545"/>
      <c r="X150" s="545">
        <v>0</v>
      </c>
      <c r="Y150" s="545"/>
      <c r="Z150" s="545"/>
      <c r="AA150" s="545"/>
      <c r="AB150" s="545"/>
    </row>
    <row r="151" spans="2:28" ht="15">
      <c r="B151" s="174" t="s">
        <v>112</v>
      </c>
      <c r="C151" s="175"/>
      <c r="D151" s="175"/>
      <c r="E151" s="175"/>
      <c r="F151" s="175"/>
      <c r="G151" s="175"/>
      <c r="H151" s="175"/>
      <c r="I151" s="175"/>
      <c r="J151" s="175"/>
      <c r="K151" s="175"/>
      <c r="L151" s="175"/>
      <c r="M151" s="175"/>
      <c r="N151" s="175"/>
      <c r="O151" s="175"/>
      <c r="P151" s="175"/>
      <c r="Q151" s="175"/>
      <c r="R151" s="175"/>
      <c r="S151" s="175"/>
      <c r="T151" s="175"/>
      <c r="V151" s="174" t="s">
        <v>112</v>
      </c>
      <c r="W151" s="547"/>
      <c r="X151" s="547"/>
      <c r="Y151" s="547"/>
      <c r="Z151" s="547"/>
      <c r="AA151" s="547"/>
      <c r="AB151" s="547"/>
    </row>
    <row r="152" spans="2:28" ht="15">
      <c r="B152" s="167" t="s">
        <v>113</v>
      </c>
      <c r="C152" s="176"/>
      <c r="D152" s="176"/>
      <c r="E152" s="176"/>
      <c r="F152" s="176"/>
      <c r="G152" s="176"/>
      <c r="H152" s="176"/>
      <c r="I152" s="176"/>
      <c r="J152" s="176"/>
      <c r="K152" s="176"/>
      <c r="L152" s="176"/>
      <c r="M152" s="176"/>
      <c r="N152" s="176"/>
      <c r="O152" s="176"/>
      <c r="P152" s="176"/>
      <c r="Q152" s="176"/>
      <c r="R152" s="176"/>
      <c r="S152" s="176"/>
      <c r="T152" s="176"/>
      <c r="V152" s="167" t="s">
        <v>113</v>
      </c>
      <c r="W152" s="548"/>
      <c r="X152" s="548"/>
      <c r="Y152" s="548"/>
      <c r="Z152" s="548"/>
      <c r="AA152" s="548"/>
      <c r="AB152" s="548"/>
    </row>
    <row r="153" spans="2:28" ht="15.6">
      <c r="B153" s="184" t="s">
        <v>114</v>
      </c>
      <c r="C153" s="99">
        <v>25310</v>
      </c>
      <c r="D153" s="99">
        <v>31122</v>
      </c>
      <c r="E153" s="99">
        <v>27246</v>
      </c>
      <c r="F153" s="99">
        <v>28638</v>
      </c>
      <c r="G153" s="99">
        <v>29062</v>
      </c>
      <c r="H153" s="99">
        <v>30196</v>
      </c>
      <c r="I153" s="99">
        <v>30700</v>
      </c>
      <c r="J153" s="99">
        <v>32021</v>
      </c>
      <c r="K153" s="99">
        <v>33127</v>
      </c>
      <c r="L153" s="99">
        <v>34180</v>
      </c>
      <c r="M153" s="99">
        <v>35165</v>
      </c>
      <c r="N153" s="99">
        <v>35836</v>
      </c>
      <c r="O153" s="99">
        <v>37358</v>
      </c>
      <c r="P153" s="99">
        <v>37334.165015999999</v>
      </c>
      <c r="Q153" s="99">
        <v>14668.65756</v>
      </c>
      <c r="R153" s="99">
        <v>18049</v>
      </c>
      <c r="S153" s="99">
        <v>21928</v>
      </c>
      <c r="T153" s="99">
        <v>22855.740037</v>
      </c>
      <c r="V153" s="184" t="s">
        <v>114</v>
      </c>
      <c r="W153" s="99">
        <v>35697.430889000003</v>
      </c>
      <c r="X153" s="99">
        <v>37977.839837</v>
      </c>
      <c r="Y153" s="99">
        <v>18897.403108999999</v>
      </c>
      <c r="Z153" s="99">
        <v>18713</v>
      </c>
      <c r="AA153" s="99">
        <v>50170.574675999997</v>
      </c>
      <c r="AB153" s="542">
        <v>29483.755777999999</v>
      </c>
    </row>
    <row r="154" spans="2:28" ht="15.6">
      <c r="B154" s="184" t="s">
        <v>115</v>
      </c>
      <c r="C154" s="99">
        <v>7165</v>
      </c>
      <c r="D154" s="99">
        <v>8339</v>
      </c>
      <c r="E154" s="99">
        <v>7033</v>
      </c>
      <c r="F154" s="99">
        <v>7498</v>
      </c>
      <c r="G154" s="99">
        <v>7246</v>
      </c>
      <c r="H154" s="99">
        <v>8112</v>
      </c>
      <c r="I154" s="99">
        <v>4463</v>
      </c>
      <c r="J154" s="99">
        <v>7923</v>
      </c>
      <c r="K154" s="99">
        <v>7551</v>
      </c>
      <c r="L154" s="99">
        <v>8251</v>
      </c>
      <c r="M154" s="99">
        <v>9108</v>
      </c>
      <c r="N154" s="99">
        <v>7958</v>
      </c>
      <c r="O154" s="99">
        <v>8728</v>
      </c>
      <c r="P154" s="99">
        <v>11769.729023</v>
      </c>
      <c r="Q154" s="99">
        <f>10018.433679-3.646257</f>
        <v>10014.787421999999</v>
      </c>
      <c r="R154" s="99">
        <v>9757</v>
      </c>
      <c r="S154" s="99">
        <v>9729</v>
      </c>
      <c r="T154" s="99">
        <v>10614.525377</v>
      </c>
      <c r="V154" s="184" t="s">
        <v>115</v>
      </c>
      <c r="W154" s="99">
        <v>3820.9416449999999</v>
      </c>
      <c r="X154" s="99">
        <v>10664.546304</v>
      </c>
      <c r="Y154" s="99">
        <v>11375.894915999999</v>
      </c>
      <c r="Z154" s="99">
        <v>12131</v>
      </c>
      <c r="AA154" s="99">
        <v>8185.2536609999997</v>
      </c>
      <c r="AB154" s="542">
        <v>4229.4577419999996</v>
      </c>
    </row>
    <row r="155" spans="2:28" ht="15.6">
      <c r="B155" s="184" t="s">
        <v>117</v>
      </c>
      <c r="C155" s="99">
        <v>18</v>
      </c>
      <c r="D155" s="99">
        <v>16</v>
      </c>
      <c r="E155" s="99">
        <v>44</v>
      </c>
      <c r="F155" s="99">
        <v>14</v>
      </c>
      <c r="G155" s="99">
        <v>18</v>
      </c>
      <c r="H155" s="99">
        <v>21</v>
      </c>
      <c r="I155" s="99">
        <v>16</v>
      </c>
      <c r="J155" s="99">
        <v>17</v>
      </c>
      <c r="K155" s="99">
        <v>19</v>
      </c>
      <c r="L155" s="99">
        <v>22</v>
      </c>
      <c r="M155" s="99">
        <v>22</v>
      </c>
      <c r="N155" s="99">
        <v>28</v>
      </c>
      <c r="O155" s="99">
        <v>30</v>
      </c>
      <c r="P155" s="99">
        <v>29.352350999999999</v>
      </c>
      <c r="Q155" s="99">
        <v>22.584427999999999</v>
      </c>
      <c r="R155" s="99">
        <v>24</v>
      </c>
      <c r="S155" s="99">
        <v>27</v>
      </c>
      <c r="T155" s="99">
        <v>27.868293000000001</v>
      </c>
      <c r="V155" s="184" t="s">
        <v>117</v>
      </c>
      <c r="W155" s="99">
        <v>22.851267</v>
      </c>
      <c r="X155" s="99">
        <v>25.786845</v>
      </c>
      <c r="Y155" s="99">
        <v>29.174084000000001</v>
      </c>
      <c r="Z155" s="99">
        <v>29</v>
      </c>
      <c r="AA155" s="99">
        <v>23.605992000000001</v>
      </c>
      <c r="AB155" s="542">
        <v>38.266567999999999</v>
      </c>
    </row>
    <row r="156" spans="2:28" ht="15.6">
      <c r="B156" s="184" t="s">
        <v>92</v>
      </c>
      <c r="C156" s="99">
        <v>878</v>
      </c>
      <c r="D156" s="99">
        <v>1030</v>
      </c>
      <c r="E156" s="99">
        <v>827</v>
      </c>
      <c r="F156" s="99">
        <v>616</v>
      </c>
      <c r="G156" s="99">
        <v>582</v>
      </c>
      <c r="H156" s="99">
        <v>583</v>
      </c>
      <c r="I156" s="99">
        <v>647</v>
      </c>
      <c r="J156" s="99">
        <v>581</v>
      </c>
      <c r="K156" s="99">
        <v>643</v>
      </c>
      <c r="L156" s="99">
        <v>1491</v>
      </c>
      <c r="M156" s="99">
        <v>121</v>
      </c>
      <c r="N156" s="99">
        <v>403</v>
      </c>
      <c r="O156" s="99">
        <v>644</v>
      </c>
      <c r="P156" s="99">
        <v>723.85848599999997</v>
      </c>
      <c r="Q156" s="99">
        <f>928.771405+3.646257</f>
        <v>932.41766199999995</v>
      </c>
      <c r="R156" s="99">
        <v>969</v>
      </c>
      <c r="S156" s="99">
        <v>730</v>
      </c>
      <c r="T156" s="99">
        <v>805.13452099999995</v>
      </c>
      <c r="V156" s="184" t="s">
        <v>92</v>
      </c>
      <c r="W156" s="99">
        <v>1234.8453420000001</v>
      </c>
      <c r="X156" s="99">
        <v>384.834744</v>
      </c>
      <c r="Y156" s="99">
        <v>293.34501</v>
      </c>
      <c r="Z156" s="99">
        <v>248</v>
      </c>
      <c r="AA156" s="99">
        <v>691.18036199999995</v>
      </c>
      <c r="AB156" s="542">
        <v>479.79651100000001</v>
      </c>
    </row>
    <row r="157" spans="2:28" ht="15.6">
      <c r="B157" s="184" t="s">
        <v>118</v>
      </c>
      <c r="C157" s="99">
        <v>772</v>
      </c>
      <c r="D157" s="99">
        <v>858</v>
      </c>
      <c r="E157" s="99">
        <v>0</v>
      </c>
      <c r="F157" s="99">
        <v>0</v>
      </c>
      <c r="G157" s="99">
        <v>125</v>
      </c>
      <c r="H157" s="99">
        <v>0</v>
      </c>
      <c r="I157" s="99">
        <v>1408</v>
      </c>
      <c r="J157" s="99">
        <v>467</v>
      </c>
      <c r="K157" s="99">
        <v>229</v>
      </c>
      <c r="L157" s="99">
        <v>559</v>
      </c>
      <c r="M157" s="99">
        <v>138</v>
      </c>
      <c r="N157" s="99">
        <v>138</v>
      </c>
      <c r="O157" s="99">
        <v>138</v>
      </c>
      <c r="P157" s="99">
        <v>577.29338900000005</v>
      </c>
      <c r="Q157" s="99">
        <v>219.78016</v>
      </c>
      <c r="R157" s="99">
        <v>16</v>
      </c>
      <c r="S157" s="99">
        <v>17</v>
      </c>
      <c r="T157" s="99">
        <v>837.01104099999998</v>
      </c>
      <c r="V157" s="184" t="s">
        <v>118</v>
      </c>
      <c r="W157" s="99">
        <v>1255.492641</v>
      </c>
      <c r="X157" s="99">
        <v>2303.6722220000001</v>
      </c>
      <c r="Y157" s="99">
        <v>3923.3505190000001</v>
      </c>
      <c r="Z157" s="99">
        <v>4899</v>
      </c>
      <c r="AA157" s="99">
        <v>6589.0892510000003</v>
      </c>
      <c r="AB157" s="542">
        <v>2616.7599839999998</v>
      </c>
    </row>
    <row r="158" spans="2:28" ht="15.6">
      <c r="B158" s="184" t="s">
        <v>116</v>
      </c>
      <c r="C158" s="99">
        <v>152</v>
      </c>
      <c r="D158" s="99">
        <v>161</v>
      </c>
      <c r="E158" s="99">
        <v>128</v>
      </c>
      <c r="F158" s="99">
        <v>141</v>
      </c>
      <c r="G158" s="99">
        <v>156</v>
      </c>
      <c r="H158" s="99">
        <v>165</v>
      </c>
      <c r="I158" s="99">
        <v>131</v>
      </c>
      <c r="J158" s="99">
        <v>140</v>
      </c>
      <c r="K158" s="99">
        <v>149</v>
      </c>
      <c r="L158" s="99">
        <v>165</v>
      </c>
      <c r="M158" s="99">
        <v>135</v>
      </c>
      <c r="N158" s="99">
        <v>144</v>
      </c>
      <c r="O158" s="99">
        <v>152</v>
      </c>
      <c r="P158" s="99">
        <v>168.10815199999999</v>
      </c>
      <c r="Q158" s="99">
        <v>141.70902899999999</v>
      </c>
      <c r="R158" s="99">
        <v>149</v>
      </c>
      <c r="S158" s="99">
        <v>171</v>
      </c>
      <c r="T158" s="99">
        <v>198.28232499999999</v>
      </c>
      <c r="V158" s="184" t="s">
        <v>116</v>
      </c>
      <c r="W158" s="99">
        <v>155.05321000000001</v>
      </c>
      <c r="X158" s="99">
        <v>183.23755700000001</v>
      </c>
      <c r="Y158" s="99">
        <v>220.78188</v>
      </c>
      <c r="Z158" s="99">
        <v>277</v>
      </c>
      <c r="AA158" s="99">
        <v>189.812208</v>
      </c>
      <c r="AB158" s="542">
        <v>224.87243599999999</v>
      </c>
    </row>
    <row r="159" spans="2:28" ht="15.6">
      <c r="B159" s="184" t="s">
        <v>119</v>
      </c>
      <c r="C159" s="99">
        <v>0</v>
      </c>
      <c r="D159" s="99">
        <v>0</v>
      </c>
      <c r="E159" s="99">
        <v>0</v>
      </c>
      <c r="F159" s="99">
        <v>0</v>
      </c>
      <c r="G159" s="99">
        <v>0</v>
      </c>
      <c r="H159" s="99">
        <v>0</v>
      </c>
      <c r="I159" s="99">
        <v>0</v>
      </c>
      <c r="J159" s="99">
        <v>0</v>
      </c>
      <c r="K159" s="99">
        <v>0</v>
      </c>
      <c r="L159" s="99">
        <v>0</v>
      </c>
      <c r="M159" s="99">
        <v>0</v>
      </c>
      <c r="N159" s="99">
        <v>0</v>
      </c>
      <c r="O159" s="99">
        <v>0</v>
      </c>
      <c r="P159" s="99">
        <v>0</v>
      </c>
      <c r="Q159" s="99">
        <v>0</v>
      </c>
      <c r="R159" s="99">
        <v>0</v>
      </c>
      <c r="S159" s="99">
        <v>0</v>
      </c>
      <c r="T159" s="99">
        <v>56.267878000000003</v>
      </c>
      <c r="V159" s="184" t="s">
        <v>119</v>
      </c>
      <c r="W159" s="99">
        <v>0</v>
      </c>
      <c r="X159" s="99">
        <v>1.8254859999999999</v>
      </c>
      <c r="Y159" s="99">
        <v>28.299973000000001</v>
      </c>
      <c r="Z159" s="99">
        <v>249</v>
      </c>
      <c r="AA159" s="99">
        <v>0</v>
      </c>
      <c r="AB159" s="542">
        <v>0</v>
      </c>
    </row>
    <row r="160" spans="2:28" ht="15.6">
      <c r="B160" s="184" t="s">
        <v>152</v>
      </c>
      <c r="C160" s="99">
        <v>0</v>
      </c>
      <c r="D160" s="99">
        <v>0</v>
      </c>
      <c r="E160" s="99">
        <v>0</v>
      </c>
      <c r="F160" s="99">
        <v>0</v>
      </c>
      <c r="G160" s="99">
        <v>0</v>
      </c>
      <c r="H160" s="99">
        <v>0</v>
      </c>
      <c r="I160" s="99">
        <v>0</v>
      </c>
      <c r="J160" s="99">
        <v>0</v>
      </c>
      <c r="K160" s="99">
        <v>0</v>
      </c>
      <c r="L160" s="99">
        <v>0</v>
      </c>
      <c r="M160" s="99">
        <v>0</v>
      </c>
      <c r="N160" s="99">
        <v>0</v>
      </c>
      <c r="O160" s="99">
        <v>0</v>
      </c>
      <c r="P160" s="99">
        <v>0</v>
      </c>
      <c r="Q160" s="99">
        <v>0</v>
      </c>
      <c r="R160" s="99">
        <v>0</v>
      </c>
      <c r="S160" s="99">
        <v>0</v>
      </c>
      <c r="T160" s="99">
        <v>0</v>
      </c>
      <c r="V160" s="184" t="s">
        <v>152</v>
      </c>
      <c r="W160" s="99">
        <v>0</v>
      </c>
      <c r="X160" s="99">
        <v>0</v>
      </c>
      <c r="Y160" s="99">
        <v>0</v>
      </c>
      <c r="Z160" s="99" t="s">
        <v>1155</v>
      </c>
      <c r="AA160" s="99">
        <v>0</v>
      </c>
      <c r="AB160" s="542">
        <v>0</v>
      </c>
    </row>
    <row r="161" spans="2:28" ht="15">
      <c r="B161" s="167" t="s">
        <v>121</v>
      </c>
      <c r="C161" s="172">
        <v>34295</v>
      </c>
      <c r="D161" s="172">
        <v>41526</v>
      </c>
      <c r="E161" s="172">
        <v>35278</v>
      </c>
      <c r="F161" s="172">
        <v>36907</v>
      </c>
      <c r="G161" s="172">
        <v>37189</v>
      </c>
      <c r="H161" s="172">
        <v>39077</v>
      </c>
      <c r="I161" s="172">
        <v>37365</v>
      </c>
      <c r="J161" s="172">
        <v>41149</v>
      </c>
      <c r="K161" s="172">
        <v>41718</v>
      </c>
      <c r="L161" s="172">
        <v>44668</v>
      </c>
      <c r="M161" s="172">
        <v>44689</v>
      </c>
      <c r="N161" s="172">
        <v>44507</v>
      </c>
      <c r="O161" s="172">
        <v>47050</v>
      </c>
      <c r="P161" s="172">
        <f>SUM(P153:P160)</f>
        <v>50602.506416999997</v>
      </c>
      <c r="Q161" s="172">
        <f>SUM(Q153:Q160)</f>
        <v>25999.936260999999</v>
      </c>
      <c r="R161" s="172">
        <v>28964</v>
      </c>
      <c r="S161" s="172">
        <v>32602</v>
      </c>
      <c r="T161" s="172">
        <v>35394.829471999998</v>
      </c>
      <c r="V161" s="167" t="s">
        <v>121</v>
      </c>
      <c r="W161" s="543">
        <v>42186.614993999996</v>
      </c>
      <c r="X161" s="543">
        <v>51541.742995000001</v>
      </c>
      <c r="Y161" s="543">
        <v>34768.249491000002</v>
      </c>
      <c r="Z161" s="543">
        <v>36545</v>
      </c>
      <c r="AA161" s="543">
        <v>65849.516149999996</v>
      </c>
      <c r="AB161" s="543">
        <v>37072.909018999992</v>
      </c>
    </row>
    <row r="162" spans="2:28" ht="15">
      <c r="B162" s="177" t="s">
        <v>122</v>
      </c>
      <c r="C162" s="178"/>
      <c r="D162" s="178"/>
      <c r="E162" s="178"/>
      <c r="F162" s="178"/>
      <c r="G162" s="178"/>
      <c r="H162" s="178"/>
      <c r="I162" s="178"/>
      <c r="J162" s="178"/>
      <c r="K162" s="178"/>
      <c r="L162" s="178"/>
      <c r="M162" s="178"/>
      <c r="N162" s="178"/>
      <c r="O162" s="178"/>
      <c r="P162" s="178"/>
      <c r="Q162" s="178"/>
      <c r="R162" s="178"/>
      <c r="S162" s="178"/>
      <c r="T162" s="178"/>
      <c r="V162" s="177" t="s">
        <v>122</v>
      </c>
      <c r="W162" s="544"/>
      <c r="X162" s="544"/>
      <c r="Y162" s="544"/>
      <c r="Z162" s="544"/>
      <c r="AA162" s="544"/>
      <c r="AB162" s="544"/>
    </row>
    <row r="163" spans="2:28" ht="15.6">
      <c r="B163" s="184" t="s">
        <v>114</v>
      </c>
      <c r="C163" s="99">
        <v>128683</v>
      </c>
      <c r="D163" s="99">
        <v>102848</v>
      </c>
      <c r="E163" s="99">
        <v>96132</v>
      </c>
      <c r="F163" s="99">
        <v>96612</v>
      </c>
      <c r="G163" s="99">
        <v>82198</v>
      </c>
      <c r="H163" s="99">
        <v>83008</v>
      </c>
      <c r="I163" s="99">
        <v>71740</v>
      </c>
      <c r="J163" s="99">
        <v>73944</v>
      </c>
      <c r="K163" s="99">
        <v>57213</v>
      </c>
      <c r="L163" s="99">
        <v>57708</v>
      </c>
      <c r="M163" s="99">
        <v>42853</v>
      </c>
      <c r="N163" s="99">
        <v>43289</v>
      </c>
      <c r="O163" s="99">
        <v>23745</v>
      </c>
      <c r="P163" s="99">
        <v>25209.750968</v>
      </c>
      <c r="Q163" s="99">
        <v>42481.993174000003</v>
      </c>
      <c r="R163" s="99">
        <v>60079</v>
      </c>
      <c r="S163" s="99">
        <v>51268</v>
      </c>
      <c r="T163" s="99">
        <v>52757.632638000003</v>
      </c>
      <c r="V163" s="184" t="s">
        <v>114</v>
      </c>
      <c r="W163" s="99">
        <v>24950.447708</v>
      </c>
      <c r="X163" s="99">
        <v>26889.468815</v>
      </c>
      <c r="Y163" s="99">
        <v>32020.199161</v>
      </c>
      <c r="Z163" s="99">
        <v>47603</v>
      </c>
      <c r="AA163" s="99">
        <v>25449.949131000001</v>
      </c>
      <c r="AB163" s="542">
        <v>50529.266333</v>
      </c>
    </row>
    <row r="164" spans="2:28" ht="15.6">
      <c r="B164" s="184" t="s">
        <v>115</v>
      </c>
      <c r="C164" s="99">
        <v>29057</v>
      </c>
      <c r="D164" s="99">
        <v>26050</v>
      </c>
      <c r="E164" s="99">
        <v>26984</v>
      </c>
      <c r="F164" s="99">
        <v>24808</v>
      </c>
      <c r="G164" s="99">
        <v>22565</v>
      </c>
      <c r="H164" s="99">
        <v>21037</v>
      </c>
      <c r="I164" s="99">
        <v>21865</v>
      </c>
      <c r="J164" s="99">
        <v>19379</v>
      </c>
      <c r="K164" s="99">
        <v>16631</v>
      </c>
      <c r="L164" s="99">
        <v>17348</v>
      </c>
      <c r="M164" s="99">
        <v>18100</v>
      </c>
      <c r="N164" s="99">
        <v>15420</v>
      </c>
      <c r="O164" s="99">
        <v>12309</v>
      </c>
      <c r="P164" s="99">
        <v>12713.751821</v>
      </c>
      <c r="Q164" s="99">
        <f>13702.809773+50.631804</f>
        <v>13753.441577000001</v>
      </c>
      <c r="R164" s="99">
        <v>10343</v>
      </c>
      <c r="S164" s="99">
        <v>6826</v>
      </c>
      <c r="T164" s="99">
        <v>7375.1703369999996</v>
      </c>
      <c r="V164" s="184" t="s">
        <v>115</v>
      </c>
      <c r="W164" s="99">
        <v>32.537106999999999</v>
      </c>
      <c r="X164" s="99">
        <v>29.420718999999998</v>
      </c>
      <c r="Y164" s="99">
        <v>68.919073999999995</v>
      </c>
      <c r="Z164" s="99">
        <v>63</v>
      </c>
      <c r="AA164" s="99">
        <v>58.905256999999999</v>
      </c>
      <c r="AB164" s="542">
        <v>51.998381999999999</v>
      </c>
    </row>
    <row r="165" spans="2:28" ht="15.6">
      <c r="B165" s="184" t="s">
        <v>123</v>
      </c>
      <c r="C165" s="99">
        <v>0</v>
      </c>
      <c r="D165" s="99">
        <v>0</v>
      </c>
      <c r="E165" s="99">
        <v>0</v>
      </c>
      <c r="F165" s="99">
        <v>0</v>
      </c>
      <c r="G165" s="99">
        <v>0</v>
      </c>
      <c r="H165" s="99">
        <v>0</v>
      </c>
      <c r="I165" s="99">
        <v>0</v>
      </c>
      <c r="J165" s="99">
        <v>0</v>
      </c>
      <c r="K165" s="99">
        <v>0</v>
      </c>
      <c r="L165" s="99">
        <v>0</v>
      </c>
      <c r="M165" s="99">
        <v>0</v>
      </c>
      <c r="N165" s="99">
        <v>0</v>
      </c>
      <c r="O165" s="99">
        <v>0</v>
      </c>
      <c r="P165" s="99">
        <v>0</v>
      </c>
      <c r="Q165" s="99">
        <v>0</v>
      </c>
      <c r="R165" s="99">
        <v>0</v>
      </c>
      <c r="S165" s="99">
        <v>0</v>
      </c>
      <c r="T165" s="99">
        <v>0</v>
      </c>
      <c r="V165" s="184" t="s">
        <v>123</v>
      </c>
      <c r="W165" s="99">
        <v>0</v>
      </c>
      <c r="X165" s="99">
        <v>0</v>
      </c>
      <c r="Y165" s="99">
        <v>0</v>
      </c>
      <c r="Z165" s="99" t="s">
        <v>1155</v>
      </c>
      <c r="AA165" s="99">
        <v>0</v>
      </c>
      <c r="AB165" s="542">
        <v>0</v>
      </c>
    </row>
    <row r="166" spans="2:28" ht="15.6">
      <c r="B166" s="184" t="s">
        <v>117</v>
      </c>
      <c r="C166" s="99">
        <v>0</v>
      </c>
      <c r="D166" s="99">
        <v>0</v>
      </c>
      <c r="E166" s="99">
        <v>0</v>
      </c>
      <c r="F166" s="99">
        <v>0</v>
      </c>
      <c r="G166" s="99">
        <v>0</v>
      </c>
      <c r="H166" s="99">
        <v>0</v>
      </c>
      <c r="I166" s="99">
        <v>0</v>
      </c>
      <c r="J166" s="99">
        <v>0</v>
      </c>
      <c r="K166" s="99">
        <v>0</v>
      </c>
      <c r="L166" s="99">
        <v>0</v>
      </c>
      <c r="M166" s="99">
        <v>0</v>
      </c>
      <c r="N166" s="99">
        <v>0</v>
      </c>
      <c r="O166" s="99">
        <v>0</v>
      </c>
      <c r="P166" s="99">
        <v>0</v>
      </c>
      <c r="Q166" s="99">
        <v>0</v>
      </c>
      <c r="R166" s="99">
        <v>0</v>
      </c>
      <c r="S166" s="99">
        <v>0</v>
      </c>
      <c r="T166" s="99">
        <v>0</v>
      </c>
      <c r="V166" s="184" t="s">
        <v>117</v>
      </c>
      <c r="W166" s="99">
        <v>0</v>
      </c>
      <c r="X166" s="99">
        <v>0</v>
      </c>
      <c r="Y166" s="99">
        <v>0</v>
      </c>
      <c r="Z166" s="99" t="s">
        <v>1155</v>
      </c>
      <c r="AA166" s="99">
        <v>0</v>
      </c>
      <c r="AB166" s="542">
        <v>0</v>
      </c>
    </row>
    <row r="167" spans="2:28" ht="15.6">
      <c r="B167" s="184" t="s">
        <v>118</v>
      </c>
      <c r="C167" s="99">
        <v>0</v>
      </c>
      <c r="D167" s="99">
        <v>0</v>
      </c>
      <c r="E167" s="99">
        <v>0</v>
      </c>
      <c r="F167" s="99">
        <v>0</v>
      </c>
      <c r="G167" s="99">
        <v>0</v>
      </c>
      <c r="H167" s="99">
        <v>0</v>
      </c>
      <c r="I167" s="99">
        <v>0</v>
      </c>
      <c r="J167" s="99">
        <v>0</v>
      </c>
      <c r="K167" s="99">
        <v>0</v>
      </c>
      <c r="L167" s="99">
        <v>0</v>
      </c>
      <c r="M167" s="99">
        <v>0</v>
      </c>
      <c r="N167" s="99">
        <v>0</v>
      </c>
      <c r="O167" s="99">
        <v>0</v>
      </c>
      <c r="P167" s="99">
        <v>0</v>
      </c>
      <c r="Q167" s="99">
        <v>0</v>
      </c>
      <c r="R167" s="99">
        <v>0</v>
      </c>
      <c r="S167" s="99">
        <v>0</v>
      </c>
      <c r="T167" s="99">
        <v>0</v>
      </c>
      <c r="V167" s="184" t="s">
        <v>118</v>
      </c>
      <c r="W167" s="99">
        <v>0</v>
      </c>
      <c r="X167" s="99">
        <v>0</v>
      </c>
      <c r="Y167" s="99">
        <v>0</v>
      </c>
      <c r="Z167" s="99" t="s">
        <v>1155</v>
      </c>
      <c r="AA167" s="99">
        <v>0</v>
      </c>
      <c r="AB167" s="542">
        <v>0</v>
      </c>
    </row>
    <row r="168" spans="2:28" ht="15.6">
      <c r="B168" s="184" t="s">
        <v>119</v>
      </c>
      <c r="C168" s="99">
        <v>0</v>
      </c>
      <c r="D168" s="99">
        <v>0</v>
      </c>
      <c r="E168" s="99">
        <v>0</v>
      </c>
      <c r="F168" s="99">
        <v>0</v>
      </c>
      <c r="G168" s="99">
        <v>0</v>
      </c>
      <c r="H168" s="99">
        <v>0</v>
      </c>
      <c r="I168" s="99">
        <v>0</v>
      </c>
      <c r="J168" s="99">
        <v>0</v>
      </c>
      <c r="K168" s="99">
        <v>0</v>
      </c>
      <c r="L168" s="99">
        <v>0</v>
      </c>
      <c r="M168" s="99">
        <v>0</v>
      </c>
      <c r="N168" s="99">
        <v>0</v>
      </c>
      <c r="O168" s="99">
        <v>0</v>
      </c>
      <c r="P168" s="99">
        <v>0</v>
      </c>
      <c r="Q168" s="99">
        <v>0</v>
      </c>
      <c r="R168" s="99">
        <v>0</v>
      </c>
      <c r="S168" s="99">
        <v>0</v>
      </c>
      <c r="T168" s="99">
        <v>0</v>
      </c>
      <c r="V168" s="184" t="s">
        <v>119</v>
      </c>
      <c r="W168" s="99">
        <v>0</v>
      </c>
      <c r="X168" s="99">
        <v>0</v>
      </c>
      <c r="Y168" s="99">
        <v>0</v>
      </c>
      <c r="Z168" s="99" t="s">
        <v>1155</v>
      </c>
      <c r="AA168" s="99">
        <v>0</v>
      </c>
      <c r="AB168" s="542">
        <v>0</v>
      </c>
    </row>
    <row r="169" spans="2:28" ht="15.6">
      <c r="B169" s="184" t="s">
        <v>153</v>
      </c>
      <c r="C169" s="99">
        <v>0</v>
      </c>
      <c r="D169" s="99">
        <v>0</v>
      </c>
      <c r="E169" s="99">
        <v>0</v>
      </c>
      <c r="F169" s="99">
        <v>0</v>
      </c>
      <c r="G169" s="99">
        <v>0</v>
      </c>
      <c r="H169" s="99">
        <v>0</v>
      </c>
      <c r="I169" s="99">
        <v>0</v>
      </c>
      <c r="J169" s="99">
        <v>0</v>
      </c>
      <c r="K169" s="99">
        <v>0</v>
      </c>
      <c r="L169" s="99">
        <v>0</v>
      </c>
      <c r="M169" s="99">
        <v>0</v>
      </c>
      <c r="N169" s="99">
        <v>0</v>
      </c>
      <c r="O169" s="99">
        <v>0</v>
      </c>
      <c r="P169" s="99">
        <v>0</v>
      </c>
      <c r="Q169" s="99">
        <v>0</v>
      </c>
      <c r="R169" s="99">
        <v>0</v>
      </c>
      <c r="S169" s="99">
        <v>0</v>
      </c>
      <c r="T169" s="99">
        <v>0</v>
      </c>
      <c r="V169" s="184" t="s">
        <v>153</v>
      </c>
      <c r="W169" s="99">
        <v>0</v>
      </c>
      <c r="X169" s="99">
        <v>0</v>
      </c>
      <c r="Y169" s="99">
        <v>0</v>
      </c>
      <c r="Z169" s="99" t="s">
        <v>1155</v>
      </c>
      <c r="AA169" s="99">
        <v>0</v>
      </c>
      <c r="AB169" s="542">
        <v>0</v>
      </c>
    </row>
    <row r="170" spans="2:28" ht="15">
      <c r="B170" s="167" t="s">
        <v>124</v>
      </c>
      <c r="C170" s="172">
        <v>157740</v>
      </c>
      <c r="D170" s="172">
        <v>128898</v>
      </c>
      <c r="E170" s="172">
        <v>123116</v>
      </c>
      <c r="F170" s="172">
        <v>121420</v>
      </c>
      <c r="G170" s="172">
        <v>104763</v>
      </c>
      <c r="H170" s="172">
        <v>104045</v>
      </c>
      <c r="I170" s="172">
        <v>93605</v>
      </c>
      <c r="J170" s="172">
        <v>93323</v>
      </c>
      <c r="K170" s="172">
        <v>73844</v>
      </c>
      <c r="L170" s="172">
        <v>75056</v>
      </c>
      <c r="M170" s="172">
        <v>60953</v>
      </c>
      <c r="N170" s="172">
        <v>58709</v>
      </c>
      <c r="O170" s="172">
        <v>36054</v>
      </c>
      <c r="P170" s="172">
        <f>SUM(P163:P169)</f>
        <v>37923.502788999998</v>
      </c>
      <c r="Q170" s="172">
        <f>SUM(Q163:Q169)</f>
        <v>56235.434751000008</v>
      </c>
      <c r="R170" s="172">
        <v>70422</v>
      </c>
      <c r="S170" s="172">
        <v>58094</v>
      </c>
      <c r="T170" s="172">
        <v>60132.802974999999</v>
      </c>
      <c r="V170" s="167" t="s">
        <v>124</v>
      </c>
      <c r="W170" s="543">
        <v>24982.984815</v>
      </c>
      <c r="X170" s="543">
        <v>26918.889534000002</v>
      </c>
      <c r="Y170" s="543">
        <v>32089.118235000002</v>
      </c>
      <c r="Z170" s="543">
        <v>47666</v>
      </c>
      <c r="AA170" s="543">
        <v>25508.854388</v>
      </c>
      <c r="AB170" s="543">
        <v>50581.264714999998</v>
      </c>
    </row>
    <row r="171" spans="2:28" ht="15">
      <c r="B171" s="121" t="s">
        <v>125</v>
      </c>
      <c r="C171" s="171">
        <v>192035</v>
      </c>
      <c r="D171" s="171">
        <v>170424</v>
      </c>
      <c r="E171" s="171">
        <v>158394</v>
      </c>
      <c r="F171" s="171">
        <v>158327</v>
      </c>
      <c r="G171" s="171">
        <v>141952</v>
      </c>
      <c r="H171" s="171">
        <v>143122</v>
      </c>
      <c r="I171" s="171">
        <v>130970</v>
      </c>
      <c r="J171" s="171">
        <v>134472</v>
      </c>
      <c r="K171" s="171">
        <v>115562</v>
      </c>
      <c r="L171" s="171">
        <v>119724</v>
      </c>
      <c r="M171" s="171">
        <v>105642</v>
      </c>
      <c r="N171" s="171">
        <v>103216</v>
      </c>
      <c r="O171" s="171">
        <v>83104</v>
      </c>
      <c r="P171" s="171">
        <f>+P161+P170</f>
        <v>88526.009205999988</v>
      </c>
      <c r="Q171" s="171">
        <f>+Q161+Q170</f>
        <v>82235.371012000003</v>
      </c>
      <c r="R171" s="171">
        <v>99386</v>
      </c>
      <c r="S171" s="171">
        <v>90696</v>
      </c>
      <c r="T171" s="171">
        <v>95527.632446999996</v>
      </c>
      <c r="V171" s="121" t="s">
        <v>125</v>
      </c>
      <c r="W171" s="541">
        <v>67169.599808999992</v>
      </c>
      <c r="X171" s="541">
        <v>78460.632528999995</v>
      </c>
      <c r="Y171" s="541">
        <v>66857.367725999997</v>
      </c>
      <c r="Z171" s="541">
        <v>84212</v>
      </c>
      <c r="AA171" s="541">
        <v>91358.370537999988</v>
      </c>
      <c r="AB171" s="541">
        <v>87654.173733999982</v>
      </c>
    </row>
    <row r="172" spans="2:28" ht="15">
      <c r="B172" s="123"/>
      <c r="C172" s="173"/>
      <c r="D172" s="173"/>
      <c r="E172" s="173"/>
      <c r="F172" s="173"/>
      <c r="G172" s="173"/>
      <c r="H172" s="173"/>
      <c r="I172" s="173"/>
      <c r="J172" s="173"/>
      <c r="K172" s="173"/>
      <c r="L172" s="173"/>
      <c r="M172" s="173"/>
      <c r="N172" s="173"/>
      <c r="O172" s="173"/>
      <c r="P172" s="173"/>
      <c r="Q172" s="173"/>
      <c r="R172" s="173"/>
      <c r="S172" s="173">
        <v>0</v>
      </c>
      <c r="T172" s="173"/>
      <c r="V172" s="123"/>
      <c r="W172" s="545"/>
      <c r="X172" s="545">
        <v>0</v>
      </c>
      <c r="Y172" s="545"/>
      <c r="Z172" s="545"/>
      <c r="AA172" s="545"/>
      <c r="AB172" s="545"/>
    </row>
    <row r="173" spans="2:28" ht="15">
      <c r="B173" s="177" t="s">
        <v>126</v>
      </c>
      <c r="C173" s="178"/>
      <c r="D173" s="178"/>
      <c r="E173" s="178"/>
      <c r="F173" s="178"/>
      <c r="G173" s="178"/>
      <c r="H173" s="178"/>
      <c r="I173" s="178"/>
      <c r="J173" s="178"/>
      <c r="K173" s="178"/>
      <c r="L173" s="178"/>
      <c r="M173" s="178"/>
      <c r="N173" s="178"/>
      <c r="O173" s="178"/>
      <c r="P173" s="178"/>
      <c r="Q173" s="178"/>
      <c r="R173" s="178"/>
      <c r="S173" s="178"/>
      <c r="T173" s="178"/>
      <c r="V173" s="177" t="s">
        <v>126</v>
      </c>
      <c r="W173" s="544"/>
      <c r="X173" s="544"/>
      <c r="Y173" s="544"/>
      <c r="Z173" s="544"/>
      <c r="AA173" s="544"/>
      <c r="AB173" s="544"/>
    </row>
    <row r="174" spans="2:28" ht="15.6">
      <c r="B174" s="184" t="s">
        <v>127</v>
      </c>
      <c r="C174" s="99">
        <v>48963</v>
      </c>
      <c r="D174" s="99">
        <v>48963</v>
      </c>
      <c r="E174" s="99">
        <v>48963</v>
      </c>
      <c r="F174" s="99">
        <v>48963</v>
      </c>
      <c r="G174" s="99">
        <v>48963</v>
      </c>
      <c r="H174" s="99">
        <v>48963</v>
      </c>
      <c r="I174" s="99">
        <v>48963</v>
      </c>
      <c r="J174" s="99">
        <v>48963</v>
      </c>
      <c r="K174" s="99">
        <v>48963</v>
      </c>
      <c r="L174" s="99">
        <v>48963</v>
      </c>
      <c r="M174" s="99">
        <v>48963</v>
      </c>
      <c r="N174" s="99">
        <v>48963</v>
      </c>
      <c r="O174" s="99">
        <v>48963</v>
      </c>
      <c r="P174" s="99">
        <v>48962.667104</v>
      </c>
      <c r="Q174" s="99">
        <v>48962.667104</v>
      </c>
      <c r="R174" s="99">
        <v>48962.667104</v>
      </c>
      <c r="S174" s="99">
        <v>48962.667104</v>
      </c>
      <c r="T174" s="99">
        <v>48962.667104</v>
      </c>
      <c r="V174" s="184" t="s">
        <v>127</v>
      </c>
      <c r="W174" s="99">
        <v>48962.667104</v>
      </c>
      <c r="X174" s="99">
        <v>48962.667104</v>
      </c>
      <c r="Y174" s="99">
        <v>48962.667104</v>
      </c>
      <c r="Z174" s="99">
        <v>48963</v>
      </c>
      <c r="AA174" s="99">
        <v>48962.667104</v>
      </c>
      <c r="AB174" s="542">
        <v>48962.667104</v>
      </c>
    </row>
    <row r="175" spans="2:28" ht="15.6">
      <c r="B175" s="184" t="s">
        <v>128</v>
      </c>
      <c r="C175" s="99">
        <v>0</v>
      </c>
      <c r="D175" s="99">
        <v>0</v>
      </c>
      <c r="E175" s="99">
        <v>0</v>
      </c>
      <c r="F175" s="99">
        <v>0</v>
      </c>
      <c r="G175" s="99">
        <v>0</v>
      </c>
      <c r="H175" s="99">
        <v>0</v>
      </c>
      <c r="I175" s="99">
        <v>0</v>
      </c>
      <c r="J175" s="99">
        <v>0</v>
      </c>
      <c r="K175" s="99">
        <v>0</v>
      </c>
      <c r="L175" s="99">
        <v>0</v>
      </c>
      <c r="M175" s="99">
        <v>0</v>
      </c>
      <c r="N175" s="99">
        <v>0</v>
      </c>
      <c r="O175" s="99">
        <v>0</v>
      </c>
      <c r="P175" s="99">
        <v>0</v>
      </c>
      <c r="Q175" s="99">
        <v>0</v>
      </c>
      <c r="R175" s="99">
        <v>0</v>
      </c>
      <c r="S175" s="99">
        <v>0</v>
      </c>
      <c r="T175" s="99">
        <v>0</v>
      </c>
      <c r="V175" s="184" t="s">
        <v>128</v>
      </c>
      <c r="W175" s="99">
        <v>0</v>
      </c>
      <c r="X175" s="99">
        <v>0</v>
      </c>
      <c r="Y175" s="99">
        <v>0</v>
      </c>
      <c r="Z175" s="99" t="s">
        <v>1155</v>
      </c>
      <c r="AA175" s="99">
        <v>0</v>
      </c>
      <c r="AB175" s="542">
        <v>0</v>
      </c>
    </row>
    <row r="176" spans="2:28" ht="15.6">
      <c r="B176" s="184" t="s">
        <v>129</v>
      </c>
      <c r="C176" s="99">
        <v>0</v>
      </c>
      <c r="D176" s="99">
        <v>0</v>
      </c>
      <c r="E176" s="99">
        <v>0</v>
      </c>
      <c r="F176" s="99">
        <v>0</v>
      </c>
      <c r="G176" s="99">
        <v>0</v>
      </c>
      <c r="H176" s="99">
        <v>0</v>
      </c>
      <c r="I176" s="99">
        <v>0</v>
      </c>
      <c r="J176" s="99">
        <v>0</v>
      </c>
      <c r="K176" s="99">
        <v>0</v>
      </c>
      <c r="L176" s="99">
        <v>0</v>
      </c>
      <c r="M176" s="99">
        <v>0</v>
      </c>
      <c r="N176" s="99">
        <v>0</v>
      </c>
      <c r="O176" s="99">
        <v>0</v>
      </c>
      <c r="P176" s="99">
        <v>0</v>
      </c>
      <c r="Q176" s="99">
        <v>0</v>
      </c>
      <c r="R176" s="99">
        <v>0</v>
      </c>
      <c r="S176" s="99">
        <v>0</v>
      </c>
      <c r="T176" s="99">
        <v>0</v>
      </c>
      <c r="V176" s="184" t="s">
        <v>129</v>
      </c>
      <c r="W176" s="99">
        <v>0</v>
      </c>
      <c r="X176" s="99">
        <v>0</v>
      </c>
      <c r="Y176" s="99">
        <v>0</v>
      </c>
      <c r="Z176" s="99" t="s">
        <v>1155</v>
      </c>
      <c r="AA176" s="99">
        <v>0</v>
      </c>
      <c r="AB176" s="542">
        <v>0</v>
      </c>
    </row>
    <row r="177" spans="2:28" ht="15.6">
      <c r="B177" s="184" t="s">
        <v>130</v>
      </c>
      <c r="C177" s="99">
        <v>16995</v>
      </c>
      <c r="D177" s="99">
        <v>24123</v>
      </c>
      <c r="E177" s="99">
        <v>30598</v>
      </c>
      <c r="F177" s="99">
        <v>30598</v>
      </c>
      <c r="G177" s="99">
        <v>30598</v>
      </c>
      <c r="H177" s="99">
        <v>30598</v>
      </c>
      <c r="I177" s="99">
        <v>36648</v>
      </c>
      <c r="J177" s="99">
        <v>28350</v>
      </c>
      <c r="K177" s="99">
        <v>28350</v>
      </c>
      <c r="L177" s="99">
        <v>28350</v>
      </c>
      <c r="M177" s="99">
        <v>35436</v>
      </c>
      <c r="N177" s="99">
        <v>35436</v>
      </c>
      <c r="O177" s="99">
        <v>35436</v>
      </c>
      <c r="P177" s="99">
        <v>35436.462811999998</v>
      </c>
      <c r="Q177" s="99">
        <v>39921.578642</v>
      </c>
      <c r="R177" s="99">
        <v>10335</v>
      </c>
      <c r="S177" s="99">
        <v>10335</v>
      </c>
      <c r="T177" s="99">
        <v>10335.008642000001</v>
      </c>
      <c r="V177" s="184" t="s">
        <v>130</v>
      </c>
      <c r="W177" s="99">
        <v>17192.759785999999</v>
      </c>
      <c r="X177" s="99">
        <v>12301.808786</v>
      </c>
      <c r="Y177" s="99">
        <v>12301.808786</v>
      </c>
      <c r="Z177" s="99">
        <v>27971</v>
      </c>
      <c r="AA177" s="99">
        <v>27971.257185999999</v>
      </c>
      <c r="AB177" s="542">
        <v>27971.257185999999</v>
      </c>
    </row>
    <row r="178" spans="2:28" ht="15.6">
      <c r="B178" s="184" t="s">
        <v>131</v>
      </c>
      <c r="C178" s="99">
        <v>7128</v>
      </c>
      <c r="D178" s="99">
        <v>6475</v>
      </c>
      <c r="E178" s="99">
        <v>1679</v>
      </c>
      <c r="F178" s="99">
        <v>3109</v>
      </c>
      <c r="G178" s="99">
        <v>4497</v>
      </c>
      <c r="H178" s="99">
        <v>6049</v>
      </c>
      <c r="I178" s="99">
        <v>1548</v>
      </c>
      <c r="J178" s="99">
        <v>3760</v>
      </c>
      <c r="K178" s="99">
        <v>5455</v>
      </c>
      <c r="L178" s="99">
        <v>7086</v>
      </c>
      <c r="M178" s="99">
        <v>1550</v>
      </c>
      <c r="N178" s="99">
        <v>2549</v>
      </c>
      <c r="O178" s="99">
        <v>3205</v>
      </c>
      <c r="P178" s="99">
        <v>4485.1158299999997</v>
      </c>
      <c r="Q178" s="99">
        <v>1022.546861</v>
      </c>
      <c r="R178" s="99">
        <v>2823</v>
      </c>
      <c r="S178" s="99">
        <v>5028</v>
      </c>
      <c r="T178" s="99">
        <v>7437.8651440000003</v>
      </c>
      <c r="V178" s="184" t="s">
        <v>131</v>
      </c>
      <c r="W178" s="99">
        <v>1052.0275019999999</v>
      </c>
      <c r="X178" s="99">
        <v>4932.8525529999997</v>
      </c>
      <c r="Y178" s="99">
        <v>10274.591037</v>
      </c>
      <c r="Z178" s="99">
        <v>15669</v>
      </c>
      <c r="AA178" s="99">
        <v>3642.1562709999998</v>
      </c>
      <c r="AB178" s="542">
        <v>7448.0841639999999</v>
      </c>
    </row>
    <row r="179" spans="2:28" ht="15.6">
      <c r="B179" s="184" t="s">
        <v>132</v>
      </c>
      <c r="C179" s="99">
        <v>0</v>
      </c>
      <c r="D179" s="99">
        <v>0</v>
      </c>
      <c r="E179" s="99">
        <v>0</v>
      </c>
      <c r="F179" s="99">
        <v>0</v>
      </c>
      <c r="G179" s="99">
        <v>0</v>
      </c>
      <c r="H179" s="99">
        <v>0</v>
      </c>
      <c r="I179" s="99">
        <v>0</v>
      </c>
      <c r="J179" s="99">
        <v>0</v>
      </c>
      <c r="K179" s="99">
        <v>0</v>
      </c>
      <c r="L179" s="99">
        <v>0</v>
      </c>
      <c r="M179" s="99">
        <v>0</v>
      </c>
      <c r="N179" s="99">
        <v>0</v>
      </c>
      <c r="O179" s="99">
        <v>0</v>
      </c>
      <c r="P179" s="99">
        <v>0</v>
      </c>
      <c r="Q179" s="99">
        <v>0</v>
      </c>
      <c r="R179" s="99">
        <v>0</v>
      </c>
      <c r="S179" s="99">
        <v>0</v>
      </c>
      <c r="T179" s="99">
        <v>0</v>
      </c>
      <c r="V179" s="184" t="s">
        <v>132</v>
      </c>
      <c r="W179" s="99">
        <v>0</v>
      </c>
      <c r="X179" s="99">
        <v>0</v>
      </c>
      <c r="Y179" s="99">
        <v>0</v>
      </c>
      <c r="Z179" s="99" t="s">
        <v>1155</v>
      </c>
      <c r="AA179" s="99">
        <v>0</v>
      </c>
      <c r="AB179" s="542">
        <v>0</v>
      </c>
    </row>
    <row r="180" spans="2:28" ht="15">
      <c r="B180" s="167" t="s">
        <v>135</v>
      </c>
      <c r="C180" s="172">
        <v>73086</v>
      </c>
      <c r="D180" s="172">
        <v>79561</v>
      </c>
      <c r="E180" s="172">
        <v>81240</v>
      </c>
      <c r="F180" s="172">
        <v>82670</v>
      </c>
      <c r="G180" s="172">
        <v>84058</v>
      </c>
      <c r="H180" s="172">
        <v>85610</v>
      </c>
      <c r="I180" s="172">
        <v>87159</v>
      </c>
      <c r="J180" s="172">
        <v>81073</v>
      </c>
      <c r="K180" s="172">
        <v>82768</v>
      </c>
      <c r="L180" s="172">
        <v>84399</v>
      </c>
      <c r="M180" s="172">
        <v>85949</v>
      </c>
      <c r="N180" s="172">
        <v>86948</v>
      </c>
      <c r="O180" s="172">
        <v>87604</v>
      </c>
      <c r="P180" s="172">
        <f>SUM(P174:P179)</f>
        <v>88884.245746000001</v>
      </c>
      <c r="Q180" s="172">
        <f>SUM(Q174:Q179)</f>
        <v>89906.792606999996</v>
      </c>
      <c r="R180" s="172">
        <v>62120.667104</v>
      </c>
      <c r="S180" s="172">
        <v>64325.667104</v>
      </c>
      <c r="T180" s="172">
        <v>66735.540890000004</v>
      </c>
      <c r="V180" s="167" t="s">
        <v>135</v>
      </c>
      <c r="W180" s="543">
        <v>67207.454392</v>
      </c>
      <c r="X180" s="543">
        <v>66197.328443000006</v>
      </c>
      <c r="Y180" s="543">
        <v>71539.066927000007</v>
      </c>
      <c r="Z180" s="543">
        <v>76934</v>
      </c>
      <c r="AA180" s="543">
        <v>80576.080560999995</v>
      </c>
      <c r="AB180" s="543">
        <v>84382.008453999995</v>
      </c>
    </row>
    <row r="181" spans="2:28" ht="15">
      <c r="B181" s="121" t="s">
        <v>136</v>
      </c>
      <c r="C181" s="171">
        <v>265121</v>
      </c>
      <c r="D181" s="171">
        <v>249985</v>
      </c>
      <c r="E181" s="171">
        <v>239634</v>
      </c>
      <c r="F181" s="171">
        <v>240997</v>
      </c>
      <c r="G181" s="171">
        <v>226010</v>
      </c>
      <c r="H181" s="171">
        <v>228732</v>
      </c>
      <c r="I181" s="171">
        <v>218129</v>
      </c>
      <c r="J181" s="171">
        <v>215545</v>
      </c>
      <c r="K181" s="171">
        <v>198330</v>
      </c>
      <c r="L181" s="171">
        <v>204123</v>
      </c>
      <c r="M181" s="171">
        <v>191591</v>
      </c>
      <c r="N181" s="171">
        <v>190164</v>
      </c>
      <c r="O181" s="171">
        <v>170708</v>
      </c>
      <c r="P181" s="171">
        <f>+P171+P180</f>
        <v>177410.25495199999</v>
      </c>
      <c r="Q181" s="171">
        <f>+Q171+Q180</f>
        <v>172142.163619</v>
      </c>
      <c r="R181" s="171">
        <v>161506.66710399999</v>
      </c>
      <c r="S181" s="171">
        <v>155021.66710399999</v>
      </c>
      <c r="T181" s="171">
        <v>162263.17333700001</v>
      </c>
      <c r="V181" s="121" t="s">
        <v>136</v>
      </c>
      <c r="W181" s="541">
        <v>134377.05420099999</v>
      </c>
      <c r="X181" s="541">
        <v>144657.960972</v>
      </c>
      <c r="Y181" s="541">
        <v>138396.434653</v>
      </c>
      <c r="Z181" s="541">
        <v>161146</v>
      </c>
      <c r="AA181" s="541">
        <v>171934.451099</v>
      </c>
      <c r="AB181" s="541">
        <v>172036.18218799998</v>
      </c>
    </row>
    <row r="182" spans="2:28" ht="15.6">
      <c r="B182" s="132"/>
      <c r="C182" s="185">
        <v>0</v>
      </c>
      <c r="D182" s="185">
        <v>0</v>
      </c>
      <c r="E182" s="185">
        <v>0</v>
      </c>
      <c r="F182" s="185">
        <v>0</v>
      </c>
      <c r="G182" s="185">
        <v>0</v>
      </c>
      <c r="H182" s="185">
        <v>0</v>
      </c>
      <c r="I182" s="185">
        <v>0</v>
      </c>
      <c r="J182" s="185">
        <v>0</v>
      </c>
      <c r="K182" s="185">
        <v>0</v>
      </c>
      <c r="L182" s="185">
        <v>0</v>
      </c>
      <c r="M182" s="185">
        <v>0</v>
      </c>
      <c r="N182" s="185">
        <v>0</v>
      </c>
      <c r="O182" s="185"/>
      <c r="R182" s="468"/>
      <c r="S182" s="468"/>
      <c r="T182" s="468"/>
      <c r="W182" s="535"/>
      <c r="X182" s="535"/>
      <c r="Y182" s="546"/>
    </row>
    <row r="183" spans="2:28" ht="15.6">
      <c r="B183" s="132"/>
      <c r="C183" s="132"/>
      <c r="D183" s="132"/>
      <c r="E183" s="132"/>
      <c r="F183" s="132"/>
      <c r="G183" s="132"/>
      <c r="H183" s="132"/>
      <c r="I183" s="132"/>
      <c r="J183" s="132"/>
      <c r="K183" s="132"/>
      <c r="L183" s="132"/>
      <c r="M183" s="132"/>
      <c r="N183" s="132"/>
      <c r="O183" s="132"/>
      <c r="W183" s="535"/>
      <c r="X183" s="535"/>
    </row>
    <row r="184" spans="2:28" ht="15.6">
      <c r="B184" s="54" t="s">
        <v>483</v>
      </c>
      <c r="C184" s="29"/>
      <c r="D184" s="29"/>
      <c r="E184" s="30"/>
      <c r="F184" s="29"/>
      <c r="G184" s="29"/>
      <c r="H184" s="29"/>
      <c r="I184" s="30"/>
      <c r="J184" s="29"/>
      <c r="K184" s="29"/>
      <c r="L184" s="29"/>
      <c r="M184" s="30"/>
      <c r="N184" s="29"/>
      <c r="O184" s="29"/>
      <c r="W184" s="535"/>
      <c r="X184" s="535"/>
    </row>
    <row r="185" spans="2:28" ht="15.6">
      <c r="B185" s="252" t="s">
        <v>478</v>
      </c>
      <c r="C185" s="132"/>
      <c r="D185" s="132"/>
      <c r="E185" s="132"/>
      <c r="F185" s="132"/>
      <c r="G185" s="132"/>
      <c r="H185" s="132"/>
      <c r="I185" s="132"/>
      <c r="J185" s="132"/>
      <c r="K185" s="132"/>
      <c r="L185" s="132"/>
      <c r="M185" s="132"/>
      <c r="N185" s="132"/>
      <c r="O185" s="132"/>
      <c r="W185" s="535"/>
      <c r="X185" s="535"/>
    </row>
    <row r="186" spans="2:28" ht="9.15" customHeight="1">
      <c r="B186" s="31"/>
      <c r="C186" s="31"/>
      <c r="D186" s="31"/>
      <c r="E186" s="31"/>
      <c r="F186" s="31"/>
      <c r="G186" s="31"/>
      <c r="H186" s="31"/>
      <c r="I186" s="31"/>
      <c r="J186" s="31"/>
      <c r="K186" s="31"/>
      <c r="L186" s="31"/>
      <c r="M186" s="31"/>
      <c r="N186" s="31"/>
      <c r="O186" s="31"/>
      <c r="W186" s="535"/>
      <c r="X186" s="535"/>
    </row>
    <row r="187" spans="2:28" ht="15">
      <c r="B187" s="250"/>
      <c r="C187" s="251">
        <v>2016</v>
      </c>
      <c r="D187" s="251">
        <v>2017</v>
      </c>
      <c r="E187" s="251" t="s">
        <v>40</v>
      </c>
      <c r="F187" s="251" t="s">
        <v>41</v>
      </c>
      <c r="G187" s="251" t="s">
        <v>42</v>
      </c>
      <c r="H187" s="251" t="s">
        <v>43</v>
      </c>
      <c r="I187" s="251" t="s">
        <v>44</v>
      </c>
      <c r="J187" s="251" t="s">
        <v>45</v>
      </c>
      <c r="K187" s="251" t="s">
        <v>46</v>
      </c>
      <c r="L187" s="251" t="s">
        <v>47</v>
      </c>
      <c r="M187" s="251" t="s">
        <v>48</v>
      </c>
      <c r="N187" s="251" t="s">
        <v>49</v>
      </c>
      <c r="O187" s="251" t="s">
        <v>50</v>
      </c>
      <c r="P187" s="245" t="s">
        <v>51</v>
      </c>
      <c r="Q187" s="245" t="s">
        <v>52</v>
      </c>
      <c r="R187" s="245" t="s">
        <v>53</v>
      </c>
      <c r="S187" s="245" t="s">
        <v>54</v>
      </c>
      <c r="T187" s="245" t="s">
        <v>55</v>
      </c>
      <c r="V187" s="250"/>
      <c r="W187" s="536" t="s">
        <v>87</v>
      </c>
      <c r="X187" s="536" t="s">
        <v>56</v>
      </c>
      <c r="Y187" s="536" t="s">
        <v>57</v>
      </c>
      <c r="Z187" s="536" t="s">
        <v>1154</v>
      </c>
      <c r="AA187" s="536" t="str">
        <f>+AA6</f>
        <v>1T23</v>
      </c>
      <c r="AB187" s="536" t="s">
        <v>1207</v>
      </c>
    </row>
    <row r="188" spans="2:28" ht="10.5" customHeight="1">
      <c r="B188" s="137"/>
      <c r="C188" s="31"/>
      <c r="D188" s="31"/>
      <c r="E188" s="31"/>
      <c r="F188" s="31"/>
      <c r="G188" s="31"/>
      <c r="H188" s="31"/>
      <c r="I188" s="31"/>
      <c r="J188" s="31"/>
      <c r="K188" s="31"/>
      <c r="L188" s="31"/>
      <c r="M188" s="31"/>
      <c r="N188" s="31"/>
      <c r="O188" s="31"/>
      <c r="W188" s="535"/>
      <c r="X188" s="535"/>
      <c r="Z188" s="535"/>
      <c r="AA188" s="535"/>
      <c r="AB188" s="535"/>
    </row>
    <row r="189" spans="2:28" ht="15.6">
      <c r="B189" s="72" t="s">
        <v>58</v>
      </c>
      <c r="C189" s="107">
        <v>383</v>
      </c>
      <c r="D189" s="107">
        <v>1005</v>
      </c>
      <c r="E189" s="107">
        <v>748</v>
      </c>
      <c r="F189" s="107">
        <v>-38</v>
      </c>
      <c r="G189" s="107">
        <v>197</v>
      </c>
      <c r="H189" s="107">
        <v>724</v>
      </c>
      <c r="I189" s="107">
        <v>419</v>
      </c>
      <c r="J189" s="107">
        <v>864</v>
      </c>
      <c r="K189" s="107">
        <v>1489</v>
      </c>
      <c r="L189" s="107">
        <v>2935</v>
      </c>
      <c r="M189" s="107">
        <v>1315</v>
      </c>
      <c r="N189" s="107">
        <v>-415</v>
      </c>
      <c r="O189" s="107">
        <v>663</v>
      </c>
      <c r="P189" s="107">
        <v>2357.4359569999997</v>
      </c>
      <c r="Q189" s="107">
        <v>8400.3664900000003</v>
      </c>
      <c r="R189" s="107">
        <v>7859.6335099999997</v>
      </c>
      <c r="S189" s="107">
        <v>10250</v>
      </c>
      <c r="T189" s="107">
        <v>13881.071025999998</v>
      </c>
      <c r="V189" s="72" t="s">
        <v>58</v>
      </c>
      <c r="W189" s="107">
        <v>4015.4887669999998</v>
      </c>
      <c r="X189" s="107">
        <v>1536.1693649999997</v>
      </c>
      <c r="Y189" s="107">
        <v>1102.5464480000001</v>
      </c>
      <c r="Z189" s="107">
        <v>-111</v>
      </c>
      <c r="AA189" s="107">
        <v>217.19340099999999</v>
      </c>
      <c r="AB189" s="107">
        <v>0</v>
      </c>
    </row>
    <row r="190" spans="2:28" ht="15.6">
      <c r="B190" s="72" t="s">
        <v>59</v>
      </c>
      <c r="C190" s="107">
        <v>339</v>
      </c>
      <c r="D190" s="107">
        <v>890</v>
      </c>
      <c r="E190" s="107">
        <v>662</v>
      </c>
      <c r="F190" s="107">
        <v>-34</v>
      </c>
      <c r="G190" s="107">
        <v>174</v>
      </c>
      <c r="H190" s="107">
        <v>642</v>
      </c>
      <c r="I190" s="107">
        <v>371</v>
      </c>
      <c r="J190" s="107">
        <v>765</v>
      </c>
      <c r="K190" s="107">
        <v>1317</v>
      </c>
      <c r="L190" s="107">
        <v>2597</v>
      </c>
      <c r="M190" s="107">
        <v>1144</v>
      </c>
      <c r="N190" s="107">
        <v>-361</v>
      </c>
      <c r="O190" s="107">
        <v>576</v>
      </c>
      <c r="P190" s="107">
        <v>2049.9443110000002</v>
      </c>
      <c r="Q190" s="107">
        <v>7304.6665130000001</v>
      </c>
      <c r="R190" s="107">
        <v>6834.3334869999999</v>
      </c>
      <c r="S190" s="107">
        <v>8913</v>
      </c>
      <c r="T190" s="107">
        <v>12070.670454999999</v>
      </c>
      <c r="V190" s="72" t="s">
        <v>59</v>
      </c>
      <c r="W190" s="107">
        <v>3491.729362</v>
      </c>
      <c r="X190" s="107">
        <v>6834.0591069999991</v>
      </c>
      <c r="Y190" s="107">
        <v>8913.1105979999993</v>
      </c>
      <c r="Z190" s="107">
        <v>12071</v>
      </c>
      <c r="AA190" s="107">
        <v>603.40411200000005</v>
      </c>
      <c r="AB190" s="107">
        <v>1335.7994479999998</v>
      </c>
    </row>
    <row r="191" spans="2:28" ht="15.6">
      <c r="B191" s="131" t="s">
        <v>60</v>
      </c>
      <c r="C191" s="138">
        <v>44</v>
      </c>
      <c r="D191" s="138">
        <v>115</v>
      </c>
      <c r="E191" s="138">
        <v>86</v>
      </c>
      <c r="F191" s="138">
        <v>-4</v>
      </c>
      <c r="G191" s="138">
        <v>23</v>
      </c>
      <c r="H191" s="138">
        <v>82</v>
      </c>
      <c r="I191" s="138">
        <v>48</v>
      </c>
      <c r="J191" s="138">
        <v>99</v>
      </c>
      <c r="K191" s="138">
        <v>172</v>
      </c>
      <c r="L191" s="138">
        <v>338</v>
      </c>
      <c r="M191" s="138">
        <v>171</v>
      </c>
      <c r="N191" s="138">
        <v>-54</v>
      </c>
      <c r="O191" s="138">
        <v>87</v>
      </c>
      <c r="P191" s="138">
        <v>307.49164599999949</v>
      </c>
      <c r="Q191" s="138">
        <f>+Q189-Q190</f>
        <v>1095.6999770000002</v>
      </c>
      <c r="R191" s="138">
        <v>1025.3000229999998</v>
      </c>
      <c r="S191" s="138">
        <v>1337</v>
      </c>
      <c r="T191" s="138">
        <v>1810.4005709999983</v>
      </c>
      <c r="V191" s="131" t="s">
        <v>61</v>
      </c>
      <c r="W191" s="138">
        <v>523.75940499999979</v>
      </c>
      <c r="X191" s="138">
        <v>-5297.8897419999994</v>
      </c>
      <c r="Y191" s="107">
        <v>-7810.5641499999992</v>
      </c>
      <c r="Z191" s="107">
        <v>-12182</v>
      </c>
      <c r="AA191" s="107">
        <v>-386.21071100000006</v>
      </c>
      <c r="AB191" s="138">
        <v>-1335.7994479999998</v>
      </c>
    </row>
    <row r="192" spans="2:28" ht="6" customHeight="1">
      <c r="B192" s="72"/>
      <c r="C192" s="107"/>
      <c r="D192" s="107"/>
      <c r="E192" s="107"/>
      <c r="F192" s="107"/>
      <c r="G192" s="107"/>
      <c r="H192" s="107"/>
      <c r="I192" s="107"/>
      <c r="J192" s="107"/>
      <c r="K192" s="107"/>
      <c r="L192" s="107"/>
      <c r="M192" s="107"/>
      <c r="N192" s="107"/>
      <c r="O192" s="107"/>
      <c r="P192" s="107"/>
      <c r="Q192" s="107"/>
      <c r="R192" s="107"/>
      <c r="S192" s="107">
        <v>0</v>
      </c>
      <c r="T192" s="107"/>
      <c r="W192" s="107"/>
      <c r="X192" s="107">
        <v>0</v>
      </c>
      <c r="Y192" s="107">
        <v>0</v>
      </c>
      <c r="Z192" s="107" t="s">
        <v>1155</v>
      </c>
      <c r="AA192" s="107">
        <v>0</v>
      </c>
      <c r="AB192" s="107">
        <v>0</v>
      </c>
    </row>
    <row r="193" spans="2:28" ht="15.6">
      <c r="B193" s="72" t="s">
        <v>468</v>
      </c>
      <c r="C193" s="107">
        <v>10664</v>
      </c>
      <c r="D193" s="107">
        <v>10246</v>
      </c>
      <c r="E193" s="107">
        <v>2224</v>
      </c>
      <c r="F193" s="107">
        <v>3748</v>
      </c>
      <c r="G193" s="107">
        <v>2523</v>
      </c>
      <c r="H193" s="107">
        <v>3182</v>
      </c>
      <c r="I193" s="107">
        <v>2386</v>
      </c>
      <c r="J193" s="107">
        <v>3286</v>
      </c>
      <c r="K193" s="107">
        <v>2868</v>
      </c>
      <c r="L193" s="107">
        <v>2949</v>
      </c>
      <c r="M193" s="107">
        <v>2449</v>
      </c>
      <c r="N193" s="107">
        <v>2918</v>
      </c>
      <c r="O193" s="107">
        <v>2295</v>
      </c>
      <c r="P193" s="107">
        <v>4855.760319</v>
      </c>
      <c r="Q193" s="107">
        <v>3072.7667430000001</v>
      </c>
      <c r="R193" s="107">
        <v>2283.2332569999999</v>
      </c>
      <c r="S193" s="107">
        <v>2390</v>
      </c>
      <c r="T193" s="107">
        <v>5669.2040969999998</v>
      </c>
      <c r="V193" s="72" t="s">
        <v>468</v>
      </c>
      <c r="W193" s="107">
        <v>4689.0219809999999</v>
      </c>
      <c r="X193" s="107">
        <v>2843.8022010000004</v>
      </c>
      <c r="Y193" s="107">
        <v>5696.6379839999991</v>
      </c>
      <c r="Z193" s="107">
        <v>10314</v>
      </c>
      <c r="AA193" s="107">
        <v>3583.7773010000001</v>
      </c>
      <c r="AB193" s="107">
        <v>0</v>
      </c>
    </row>
    <row r="194" spans="2:28" ht="15.6">
      <c r="B194" s="72" t="s">
        <v>469</v>
      </c>
      <c r="C194" s="107">
        <v>15218</v>
      </c>
      <c r="D194" s="107">
        <v>14624</v>
      </c>
      <c r="E194" s="107">
        <v>2197</v>
      </c>
      <c r="F194" s="107">
        <v>1986</v>
      </c>
      <c r="G194" s="107">
        <v>1774</v>
      </c>
      <c r="H194" s="107">
        <v>1575</v>
      </c>
      <c r="I194" s="107">
        <v>1606</v>
      </c>
      <c r="J194" s="107">
        <v>1416</v>
      </c>
      <c r="K194" s="107">
        <v>1423</v>
      </c>
      <c r="L194" s="107">
        <v>1147</v>
      </c>
      <c r="M194" s="107">
        <v>0</v>
      </c>
      <c r="N194" s="107">
        <v>0</v>
      </c>
      <c r="O194" s="107">
        <v>0</v>
      </c>
      <c r="P194" s="107">
        <v>1133.688717</v>
      </c>
      <c r="Q194" s="107">
        <v>0</v>
      </c>
      <c r="R194" s="107">
        <v>0</v>
      </c>
      <c r="S194" s="107">
        <v>244</v>
      </c>
      <c r="T194" s="107">
        <v>-244</v>
      </c>
      <c r="V194" s="72" t="s">
        <v>469</v>
      </c>
      <c r="W194" s="107">
        <v>0</v>
      </c>
      <c r="X194" s="107">
        <v>0</v>
      </c>
      <c r="Y194" s="107">
        <v>0</v>
      </c>
      <c r="Z194" s="107" t="s">
        <v>1155</v>
      </c>
      <c r="AA194" s="107">
        <v>0</v>
      </c>
      <c r="AB194" s="107">
        <v>0</v>
      </c>
    </row>
    <row r="195" spans="2:28" ht="15.6">
      <c r="B195" s="72" t="s">
        <v>68</v>
      </c>
      <c r="C195" s="107">
        <v>0</v>
      </c>
      <c r="D195" s="107">
        <v>0</v>
      </c>
      <c r="E195" s="107">
        <v>0</v>
      </c>
      <c r="F195" s="107">
        <v>0</v>
      </c>
      <c r="G195" s="107">
        <v>0</v>
      </c>
      <c r="H195" s="107">
        <v>0</v>
      </c>
      <c r="I195" s="107">
        <v>0</v>
      </c>
      <c r="J195" s="107">
        <v>0</v>
      </c>
      <c r="K195" s="107">
        <v>0</v>
      </c>
      <c r="L195" s="107">
        <v>0</v>
      </c>
      <c r="M195" s="107">
        <v>0</v>
      </c>
      <c r="N195" s="107">
        <v>0</v>
      </c>
      <c r="O195" s="107">
        <v>0</v>
      </c>
      <c r="P195" s="107">
        <v>0</v>
      </c>
      <c r="Q195" s="107">
        <v>0</v>
      </c>
      <c r="R195" s="107">
        <v>0</v>
      </c>
      <c r="S195" s="107">
        <v>0</v>
      </c>
      <c r="T195" s="107">
        <v>0</v>
      </c>
      <c r="V195" s="72" t="s">
        <v>68</v>
      </c>
      <c r="W195" s="107">
        <v>0</v>
      </c>
      <c r="X195" s="107">
        <v>0</v>
      </c>
      <c r="Y195" s="107">
        <v>0</v>
      </c>
      <c r="Z195" s="107" t="s">
        <v>1155</v>
      </c>
      <c r="AA195" s="107">
        <v>0</v>
      </c>
      <c r="AB195" s="107">
        <v>0</v>
      </c>
    </row>
    <row r="196" spans="2:28" ht="15.6">
      <c r="B196" s="72" t="s">
        <v>69</v>
      </c>
      <c r="C196" s="107">
        <v>10061</v>
      </c>
      <c r="D196" s="107">
        <v>9666</v>
      </c>
      <c r="E196" s="107">
        <v>2099</v>
      </c>
      <c r="F196" s="107">
        <v>3535</v>
      </c>
      <c r="G196" s="107">
        <v>2381</v>
      </c>
      <c r="H196" s="107">
        <v>3000</v>
      </c>
      <c r="I196" s="107">
        <v>2251</v>
      </c>
      <c r="J196" s="107">
        <v>3099</v>
      </c>
      <c r="K196" s="107">
        <v>2707</v>
      </c>
      <c r="L196" s="107">
        <v>2782</v>
      </c>
      <c r="M196" s="107">
        <v>2267</v>
      </c>
      <c r="N196" s="107">
        <v>2702</v>
      </c>
      <c r="O196" s="107">
        <v>2128</v>
      </c>
      <c r="P196" s="107">
        <v>4496.0743689999999</v>
      </c>
      <c r="Q196" s="107">
        <v>2845.1543919999999</v>
      </c>
      <c r="R196" s="107">
        <v>2112.8456080000001</v>
      </c>
      <c r="S196" s="107">
        <v>2214</v>
      </c>
      <c r="T196" s="107">
        <v>5249.4852729999984</v>
      </c>
      <c r="V196" s="72" t="s">
        <v>69</v>
      </c>
      <c r="W196" s="107">
        <v>4341.687019</v>
      </c>
      <c r="X196" s="107">
        <v>-2865.1117839999997</v>
      </c>
      <c r="Y196" s="107">
        <v>-2679.7097569999969</v>
      </c>
      <c r="Z196" s="107">
        <v>-2617</v>
      </c>
      <c r="AA196" s="107">
        <v>2903.772031</v>
      </c>
      <c r="AB196" s="107">
        <v>-59.156615999999758</v>
      </c>
    </row>
    <row r="197" spans="2:28" ht="15.6">
      <c r="B197" s="131" t="s">
        <v>70</v>
      </c>
      <c r="C197" s="138">
        <v>15821</v>
      </c>
      <c r="D197" s="138">
        <v>15204</v>
      </c>
      <c r="E197" s="138">
        <v>2322</v>
      </c>
      <c r="F197" s="138">
        <v>2199</v>
      </c>
      <c r="G197" s="138">
        <v>1916</v>
      </c>
      <c r="H197" s="138">
        <v>1757</v>
      </c>
      <c r="I197" s="138">
        <v>1741</v>
      </c>
      <c r="J197" s="138">
        <v>1603</v>
      </c>
      <c r="K197" s="138">
        <v>1584</v>
      </c>
      <c r="L197" s="138">
        <v>1314</v>
      </c>
      <c r="M197" s="138">
        <v>182</v>
      </c>
      <c r="N197" s="138">
        <v>216</v>
      </c>
      <c r="O197" s="138">
        <v>167</v>
      </c>
      <c r="P197" s="138">
        <v>1493.374667</v>
      </c>
      <c r="Q197" s="138">
        <f>+Q193+Q194+Q195-Q196</f>
        <v>227.61235100000022</v>
      </c>
      <c r="R197" s="138">
        <v>170.38764899999978</v>
      </c>
      <c r="S197" s="138">
        <v>420</v>
      </c>
      <c r="T197" s="138">
        <v>175.7188240000014</v>
      </c>
      <c r="V197" s="72" t="s">
        <v>71</v>
      </c>
      <c r="W197" s="107">
        <v>39.943150000000003</v>
      </c>
      <c r="X197" s="107">
        <v>38.635010999999992</v>
      </c>
      <c r="Y197" s="107">
        <v>49.790865999999994</v>
      </c>
      <c r="Z197" s="107">
        <v>20</v>
      </c>
      <c r="AA197" s="107">
        <v>8.7987479999999998</v>
      </c>
      <c r="AB197" s="107">
        <v>60.762935999999996</v>
      </c>
    </row>
    <row r="198" spans="2:28" ht="15.6">
      <c r="B198" s="74" t="s">
        <v>72</v>
      </c>
      <c r="C198" s="108">
        <v>15865</v>
      </c>
      <c r="D198" s="108">
        <v>15319</v>
      </c>
      <c r="E198" s="108">
        <v>2408</v>
      </c>
      <c r="F198" s="108">
        <v>2195</v>
      </c>
      <c r="G198" s="108">
        <v>1939</v>
      </c>
      <c r="H198" s="108">
        <v>1839</v>
      </c>
      <c r="I198" s="108">
        <v>1789</v>
      </c>
      <c r="J198" s="108">
        <v>1702</v>
      </c>
      <c r="K198" s="108">
        <v>1756</v>
      </c>
      <c r="L198" s="108">
        <v>1652</v>
      </c>
      <c r="M198" s="108">
        <v>353</v>
      </c>
      <c r="N198" s="108">
        <v>162</v>
      </c>
      <c r="O198" s="108">
        <v>254</v>
      </c>
      <c r="P198" s="108">
        <v>1800.8663129999995</v>
      </c>
      <c r="Q198" s="108">
        <f>+Q191+Q197</f>
        <v>1323.3123280000004</v>
      </c>
      <c r="R198" s="108">
        <v>1195.6876719999996</v>
      </c>
      <c r="S198" s="108">
        <v>1757</v>
      </c>
      <c r="T198" s="108">
        <v>1986.1193949999997</v>
      </c>
      <c r="V198" s="74" t="s">
        <v>387</v>
      </c>
      <c r="W198" s="108">
        <v>831.15121699999963</v>
      </c>
      <c r="X198" s="108">
        <v>372.38923200000079</v>
      </c>
      <c r="Y198" s="108">
        <v>515.99272499999665</v>
      </c>
      <c r="Z198" s="108">
        <v>729</v>
      </c>
      <c r="AA198" s="108">
        <v>284.99581099999995</v>
      </c>
      <c r="AB198" s="108">
        <v>-1337.4057680000001</v>
      </c>
    </row>
    <row r="199" spans="2:28" ht="15.6">
      <c r="B199" s="71"/>
      <c r="C199" s="8"/>
      <c r="D199" s="8"/>
      <c r="E199" s="8"/>
      <c r="F199" s="164"/>
      <c r="G199" s="8"/>
      <c r="H199" s="8"/>
      <c r="I199" s="8"/>
      <c r="J199" s="8"/>
      <c r="K199" s="8"/>
      <c r="L199" s="8"/>
      <c r="M199" s="8"/>
      <c r="N199" s="8"/>
      <c r="O199" s="8"/>
      <c r="P199" s="8"/>
      <c r="Q199" s="8"/>
      <c r="R199" s="8"/>
      <c r="S199" s="8"/>
      <c r="T199" s="8"/>
      <c r="W199" s="8"/>
      <c r="X199" s="8"/>
      <c r="Y199" s="8"/>
      <c r="Z199" s="8"/>
      <c r="AA199" s="8"/>
      <c r="AB199" s="8"/>
    </row>
    <row r="200" spans="2:28" ht="15.6">
      <c r="B200" s="72" t="s">
        <v>71</v>
      </c>
      <c r="C200" s="107">
        <v>70</v>
      </c>
      <c r="D200" s="107">
        <v>122</v>
      </c>
      <c r="E200" s="107">
        <v>37</v>
      </c>
      <c r="F200" s="107">
        <v>34</v>
      </c>
      <c r="G200" s="107">
        <v>36</v>
      </c>
      <c r="H200" s="107">
        <v>36</v>
      </c>
      <c r="I200" s="107">
        <v>110</v>
      </c>
      <c r="J200" s="107">
        <v>47</v>
      </c>
      <c r="K200" s="107">
        <v>46</v>
      </c>
      <c r="L200" s="107">
        <v>53</v>
      </c>
      <c r="M200" s="107">
        <v>52</v>
      </c>
      <c r="N200" s="107">
        <v>32</v>
      </c>
      <c r="O200" s="107">
        <v>45</v>
      </c>
      <c r="P200" s="107">
        <v>47.418841</v>
      </c>
      <c r="Q200" s="107">
        <v>46.731349000000002</v>
      </c>
      <c r="R200" s="107">
        <v>47.268650999999998</v>
      </c>
      <c r="S200" s="107">
        <v>48</v>
      </c>
      <c r="T200" s="107">
        <v>41.417477999999988</v>
      </c>
      <c r="W200" s="107"/>
      <c r="X200" s="107">
        <v>0</v>
      </c>
      <c r="Y200" s="107"/>
      <c r="Z200" s="107"/>
      <c r="AA200" s="107"/>
      <c r="AB200" s="107"/>
    </row>
    <row r="201" spans="2:28" ht="15.6">
      <c r="B201" s="72" t="s">
        <v>74</v>
      </c>
      <c r="C201" s="107">
        <v>0</v>
      </c>
      <c r="D201" s="107">
        <v>0</v>
      </c>
      <c r="E201" s="107">
        <v>0</v>
      </c>
      <c r="F201" s="107">
        <v>0</v>
      </c>
      <c r="G201" s="107">
        <v>0</v>
      </c>
      <c r="H201" s="107">
        <v>0</v>
      </c>
      <c r="I201" s="107">
        <v>0</v>
      </c>
      <c r="J201" s="107">
        <v>0</v>
      </c>
      <c r="K201" s="107">
        <v>0</v>
      </c>
      <c r="L201" s="107">
        <v>0</v>
      </c>
      <c r="M201" s="107">
        <v>0</v>
      </c>
      <c r="N201" s="107">
        <v>0</v>
      </c>
      <c r="O201" s="107">
        <v>0</v>
      </c>
      <c r="P201" s="107"/>
      <c r="Q201" s="107"/>
      <c r="R201" s="107">
        <v>0</v>
      </c>
      <c r="S201" s="107">
        <v>0</v>
      </c>
      <c r="T201" s="107">
        <v>0</v>
      </c>
      <c r="V201" s="38" t="s">
        <v>74</v>
      </c>
      <c r="W201" s="107">
        <v>0</v>
      </c>
      <c r="X201" s="107">
        <v>0</v>
      </c>
      <c r="Y201" s="107"/>
      <c r="Z201" s="107"/>
      <c r="AA201" s="107"/>
      <c r="AB201" s="107"/>
    </row>
    <row r="202" spans="2:28" ht="15.6">
      <c r="B202" s="72" t="s">
        <v>75</v>
      </c>
      <c r="C202" s="107">
        <v>54</v>
      </c>
      <c r="D202" s="107">
        <v>65</v>
      </c>
      <c r="E202" s="107">
        <v>2</v>
      </c>
      <c r="F202" s="107">
        <v>0</v>
      </c>
      <c r="G202" s="107">
        <v>3</v>
      </c>
      <c r="H202" s="107">
        <v>-1</v>
      </c>
      <c r="I202" s="107">
        <v>13</v>
      </c>
      <c r="J202" s="107">
        <v>2</v>
      </c>
      <c r="K202" s="107">
        <v>96</v>
      </c>
      <c r="L202" s="107">
        <v>-263</v>
      </c>
      <c r="M202" s="107">
        <v>14</v>
      </c>
      <c r="N202" s="107">
        <v>-29</v>
      </c>
      <c r="O202" s="107">
        <v>57</v>
      </c>
      <c r="P202" s="107">
        <v>-9340.0712369999983</v>
      </c>
      <c r="Q202" s="107">
        <v>0.98660700000000001</v>
      </c>
      <c r="R202" s="107">
        <v>1.013393</v>
      </c>
      <c r="S202" s="107">
        <v>15</v>
      </c>
      <c r="T202" s="107">
        <v>-16.454898</v>
      </c>
      <c r="V202" s="38" t="s">
        <v>75</v>
      </c>
      <c r="W202" s="107">
        <v>274.86850299999998</v>
      </c>
      <c r="X202" s="107">
        <v>-99.239783999999986</v>
      </c>
      <c r="Y202" s="107">
        <v>91.628295000000037</v>
      </c>
      <c r="Z202" s="107">
        <v>-33</v>
      </c>
      <c r="AA202" s="107">
        <v>-2011.493618</v>
      </c>
      <c r="AB202" s="107">
        <v>923.94500799999992</v>
      </c>
    </row>
    <row r="203" spans="2:28" ht="15.6">
      <c r="B203" s="74" t="s">
        <v>76</v>
      </c>
      <c r="C203" s="109">
        <v>15849</v>
      </c>
      <c r="D203" s="109">
        <v>15262</v>
      </c>
      <c r="E203" s="109">
        <v>2373</v>
      </c>
      <c r="F203" s="109">
        <v>2161</v>
      </c>
      <c r="G203" s="109">
        <v>1906</v>
      </c>
      <c r="H203" s="109">
        <v>1802</v>
      </c>
      <c r="I203" s="109">
        <v>1692</v>
      </c>
      <c r="J203" s="109">
        <v>1657</v>
      </c>
      <c r="K203" s="109">
        <v>1806</v>
      </c>
      <c r="L203" s="109">
        <v>1336</v>
      </c>
      <c r="M203" s="109">
        <v>315</v>
      </c>
      <c r="N203" s="109">
        <v>101</v>
      </c>
      <c r="O203" s="109">
        <v>266</v>
      </c>
      <c r="P203" s="109">
        <v>-7586.6237649999985</v>
      </c>
      <c r="Q203" s="109">
        <f>+Q198-Q200+Q201+Q202</f>
        <v>1277.5675860000006</v>
      </c>
      <c r="R203" s="109">
        <v>1149.4324139999994</v>
      </c>
      <c r="S203" s="109">
        <v>1724</v>
      </c>
      <c r="T203" s="109">
        <v>1928.2470189999997</v>
      </c>
      <c r="V203" s="223" t="s">
        <v>76</v>
      </c>
      <c r="W203" s="109">
        <v>1106.0197199999996</v>
      </c>
      <c r="X203" s="109">
        <v>273.1494480000008</v>
      </c>
      <c r="Y203" s="109">
        <v>607.62101999999663</v>
      </c>
      <c r="Z203" s="109">
        <v>696</v>
      </c>
      <c r="AA203" s="109">
        <v>-1726.497807</v>
      </c>
      <c r="AB203" s="109">
        <v>-413.46076000000016</v>
      </c>
    </row>
    <row r="204" spans="2:28" ht="15.6">
      <c r="B204" s="72"/>
      <c r="C204" s="107"/>
      <c r="D204" s="107"/>
      <c r="E204" s="107"/>
      <c r="F204" s="107"/>
      <c r="G204" s="107"/>
      <c r="H204" s="107"/>
      <c r="I204" s="107"/>
      <c r="J204" s="107"/>
      <c r="K204" s="107"/>
      <c r="L204" s="107"/>
      <c r="M204" s="107"/>
      <c r="N204" s="107"/>
      <c r="O204" s="107"/>
      <c r="P204" s="107"/>
      <c r="Q204" s="107"/>
      <c r="R204" s="107"/>
      <c r="S204" s="107">
        <v>0</v>
      </c>
      <c r="T204" s="107"/>
      <c r="V204" s="38"/>
      <c r="W204" s="107"/>
      <c r="X204" s="107">
        <v>0</v>
      </c>
      <c r="Y204" s="107"/>
      <c r="Z204" s="107" t="s">
        <v>1155</v>
      </c>
      <c r="AA204" s="107"/>
      <c r="AB204" s="107"/>
    </row>
    <row r="205" spans="2:28" ht="15.6">
      <c r="B205" s="72" t="s">
        <v>77</v>
      </c>
      <c r="C205" s="107">
        <v>-14451</v>
      </c>
      <c r="D205" s="107">
        <v>-11498</v>
      </c>
      <c r="E205" s="107">
        <v>-2618</v>
      </c>
      <c r="F205" s="107">
        <v>-2282</v>
      </c>
      <c r="G205" s="107">
        <v>-2297</v>
      </c>
      <c r="H205" s="107">
        <v>-1903</v>
      </c>
      <c r="I205" s="107">
        <v>-1752</v>
      </c>
      <c r="J205" s="107">
        <v>-1552</v>
      </c>
      <c r="K205" s="107">
        <v>-1168</v>
      </c>
      <c r="L205" s="107">
        <v>-1332</v>
      </c>
      <c r="M205" s="107">
        <v>-1328</v>
      </c>
      <c r="N205" s="107">
        <v>-1227</v>
      </c>
      <c r="O205" s="107">
        <v>-1256</v>
      </c>
      <c r="P205" s="107">
        <v>-1226.8322899999998</v>
      </c>
      <c r="Q205" s="107">
        <v>-1116.0049879999997</v>
      </c>
      <c r="R205" s="107">
        <v>-906.99501200000032</v>
      </c>
      <c r="S205" s="107">
        <v>-1281</v>
      </c>
      <c r="T205" s="107">
        <v>-1378.4642379999996</v>
      </c>
      <c r="V205" s="38" t="s">
        <v>77</v>
      </c>
      <c r="W205" s="107">
        <v>-1048.137751</v>
      </c>
      <c r="X205" s="107">
        <v>275.94949599999995</v>
      </c>
      <c r="Y205" s="107">
        <v>517.953621</v>
      </c>
      <c r="Z205" s="107">
        <v>632</v>
      </c>
      <c r="AA205" s="107">
        <v>456.98932300000001</v>
      </c>
      <c r="AB205" s="107">
        <v>375.97214499999995</v>
      </c>
    </row>
    <row r="206" spans="2:28" ht="15.6">
      <c r="B206" s="74" t="s">
        <v>78</v>
      </c>
      <c r="C206" s="109">
        <v>1398</v>
      </c>
      <c r="D206" s="109">
        <v>3764</v>
      </c>
      <c r="E206" s="109">
        <v>-245</v>
      </c>
      <c r="F206" s="109">
        <v>-121</v>
      </c>
      <c r="G206" s="109">
        <v>-391</v>
      </c>
      <c r="H206" s="109">
        <v>-101</v>
      </c>
      <c r="I206" s="109">
        <v>-60</v>
      </c>
      <c r="J206" s="109">
        <v>105</v>
      </c>
      <c r="K206" s="109">
        <v>638</v>
      </c>
      <c r="L206" s="109">
        <v>4</v>
      </c>
      <c r="M206" s="109">
        <v>-1013</v>
      </c>
      <c r="N206" s="109">
        <v>-1126</v>
      </c>
      <c r="O206" s="109">
        <v>-990</v>
      </c>
      <c r="P206" s="109">
        <v>-8813.4560549999987</v>
      </c>
      <c r="Q206" s="109">
        <f>+Q203+Q205</f>
        <v>161.56259800000089</v>
      </c>
      <c r="R206" s="109">
        <v>242.43740199999911</v>
      </c>
      <c r="S206" s="109">
        <v>443</v>
      </c>
      <c r="T206" s="109">
        <v>549.78278100000011</v>
      </c>
      <c r="V206" s="223" t="s">
        <v>78</v>
      </c>
      <c r="W206" s="109">
        <v>57.881968999999572</v>
      </c>
      <c r="X206" s="109">
        <v>549.09894400000076</v>
      </c>
      <c r="Y206" s="109">
        <v>1125.5746409999965</v>
      </c>
      <c r="Z206" s="109">
        <v>1328</v>
      </c>
      <c r="AA206" s="109">
        <v>-1269.508484</v>
      </c>
      <c r="AB206" s="109">
        <v>-37.488615000000209</v>
      </c>
    </row>
    <row r="207" spans="2:28" ht="15.6">
      <c r="B207" s="71"/>
      <c r="C207" s="8"/>
      <c r="D207" s="8"/>
      <c r="E207" s="8"/>
      <c r="F207" s="8"/>
      <c r="G207" s="8"/>
      <c r="H207" s="8"/>
      <c r="I207" s="8"/>
      <c r="J207" s="8"/>
      <c r="K207" s="8"/>
      <c r="L207" s="8"/>
      <c r="M207" s="8"/>
      <c r="N207" s="8"/>
      <c r="O207" s="8"/>
      <c r="P207" s="8"/>
      <c r="Q207" s="8"/>
      <c r="R207" s="8"/>
      <c r="S207" s="8"/>
      <c r="T207" s="8"/>
      <c r="V207" s="328"/>
      <c r="W207" s="8"/>
      <c r="X207" s="8"/>
      <c r="Y207" s="8"/>
      <c r="Z207" s="8"/>
      <c r="AA207" s="8"/>
      <c r="AB207" s="8"/>
    </row>
    <row r="208" spans="2:28" ht="15.6">
      <c r="B208" s="72" t="s">
        <v>79</v>
      </c>
      <c r="C208" s="107">
        <v>7167</v>
      </c>
      <c r="D208" s="107">
        <v>4197</v>
      </c>
      <c r="E208" s="107">
        <v>-314</v>
      </c>
      <c r="F208" s="107">
        <v>-146</v>
      </c>
      <c r="G208" s="107">
        <v>-249</v>
      </c>
      <c r="H208" s="107">
        <v>-1049</v>
      </c>
      <c r="I208" s="107">
        <v>-16</v>
      </c>
      <c r="J208" s="107">
        <v>-217</v>
      </c>
      <c r="K208" s="107">
        <v>85</v>
      </c>
      <c r="L208" s="107">
        <v>-87</v>
      </c>
      <c r="M208" s="107">
        <v>-369</v>
      </c>
      <c r="N208" s="107">
        <v>-330</v>
      </c>
      <c r="O208" s="107">
        <v>-347</v>
      </c>
      <c r="P208" s="107">
        <v>1376.0952139999999</v>
      </c>
      <c r="Q208" s="107">
        <v>-52.915762999999998</v>
      </c>
      <c r="R208" s="107">
        <v>-518.08423700000003</v>
      </c>
      <c r="S208" s="107">
        <v>6266</v>
      </c>
      <c r="T208" s="107">
        <v>1790.7524649999996</v>
      </c>
      <c r="V208" s="38" t="s">
        <v>79</v>
      </c>
      <c r="W208" s="107">
        <v>-70.283833999999999</v>
      </c>
      <c r="X208" s="107">
        <v>-2376.5063660000001</v>
      </c>
      <c r="Y208" s="107">
        <v>8280.7304239999994</v>
      </c>
      <c r="Z208" s="107">
        <v>2022</v>
      </c>
      <c r="AA208" s="107">
        <v>1916.4146290000001</v>
      </c>
      <c r="AB208" s="107">
        <v>0</v>
      </c>
    </row>
    <row r="209" spans="2:28" ht="15.6">
      <c r="B209" s="74" t="s">
        <v>82</v>
      </c>
      <c r="C209" s="109">
        <v>-5769</v>
      </c>
      <c r="D209" s="109">
        <v>-433</v>
      </c>
      <c r="E209" s="109">
        <v>69</v>
      </c>
      <c r="F209" s="109">
        <v>25</v>
      </c>
      <c r="G209" s="109">
        <v>-142</v>
      </c>
      <c r="H209" s="109">
        <v>948</v>
      </c>
      <c r="I209" s="109">
        <v>-44</v>
      </c>
      <c r="J209" s="109">
        <v>322</v>
      </c>
      <c r="K209" s="109">
        <v>553</v>
      </c>
      <c r="L209" s="109">
        <v>91</v>
      </c>
      <c r="M209" s="109">
        <v>-644</v>
      </c>
      <c r="N209" s="109">
        <v>-796</v>
      </c>
      <c r="O209" s="109">
        <v>-643</v>
      </c>
      <c r="P209" s="109">
        <v>-10189.551269</v>
      </c>
      <c r="Q209" s="109">
        <f>+Q206+Q208</f>
        <v>108.64683500000089</v>
      </c>
      <c r="R209" s="109">
        <v>-275.64683500000092</v>
      </c>
      <c r="S209" s="109">
        <v>6709</v>
      </c>
      <c r="T209" s="109">
        <v>2340.5352459999995</v>
      </c>
      <c r="V209" s="223" t="s">
        <v>82</v>
      </c>
      <c r="W209" s="109">
        <v>128.16580299999958</v>
      </c>
      <c r="X209" s="109">
        <v>0</v>
      </c>
      <c r="Y209" s="109">
        <v>-7155.1557830000029</v>
      </c>
      <c r="Z209" s="109">
        <v>-694</v>
      </c>
      <c r="AA209" s="109">
        <v>-3185.9231129999998</v>
      </c>
      <c r="AB209" s="109">
        <v>-37.488615000000209</v>
      </c>
    </row>
    <row r="210" spans="2:28" ht="15.6">
      <c r="B210" s="132"/>
      <c r="C210" s="132"/>
      <c r="D210" s="132"/>
      <c r="E210" s="132"/>
      <c r="F210" s="132"/>
      <c r="G210" s="132"/>
      <c r="H210" s="132"/>
      <c r="I210" s="132"/>
      <c r="J210" s="132"/>
      <c r="K210" s="132"/>
      <c r="L210" s="132"/>
      <c r="M210" s="132"/>
      <c r="N210" s="132"/>
      <c r="O210" s="132"/>
      <c r="W210" s="535"/>
      <c r="X210" s="535"/>
      <c r="Z210" s="535">
        <v>0</v>
      </c>
      <c r="AA210" s="535"/>
      <c r="AB210" s="535"/>
    </row>
    <row r="211" spans="2:28" ht="15.6">
      <c r="B211" s="132"/>
      <c r="C211" s="132"/>
      <c r="D211" s="132"/>
      <c r="E211" s="132"/>
      <c r="F211" s="132"/>
      <c r="G211" s="132"/>
      <c r="H211" s="132"/>
      <c r="I211" s="132"/>
      <c r="J211" s="132"/>
      <c r="K211" s="132"/>
      <c r="L211" s="132"/>
      <c r="M211" s="132"/>
      <c r="N211" s="132"/>
      <c r="O211" s="132"/>
      <c r="V211" s="74" t="s">
        <v>84</v>
      </c>
      <c r="W211" s="109">
        <v>1254</v>
      </c>
      <c r="X211" s="109">
        <v>510.46393300000102</v>
      </c>
      <c r="Y211" s="109">
        <v>1075.7837749999965</v>
      </c>
      <c r="Z211" s="109">
        <v>1308</v>
      </c>
      <c r="AA211" s="109">
        <v>-1278.3072319999999</v>
      </c>
      <c r="AB211" s="109">
        <v>-98.251551000000205</v>
      </c>
    </row>
    <row r="212" spans="2:28" ht="15.6">
      <c r="B212" s="54" t="s">
        <v>484</v>
      </c>
      <c r="C212" s="132"/>
      <c r="D212" s="132"/>
      <c r="E212" s="132"/>
      <c r="F212" s="132"/>
      <c r="G212" s="132"/>
      <c r="H212" s="77"/>
      <c r="I212" s="77"/>
      <c r="J212" s="77"/>
      <c r="K212" s="77"/>
      <c r="L212" s="77"/>
      <c r="M212" s="77"/>
      <c r="N212" s="77"/>
      <c r="O212" s="77"/>
      <c r="W212" s="535"/>
      <c r="X212" s="535"/>
      <c r="Z212" s="535"/>
      <c r="AA212" s="535"/>
      <c r="AB212" s="535"/>
    </row>
    <row r="213" spans="2:28" ht="15.6">
      <c r="B213" s="252" t="s">
        <v>478</v>
      </c>
      <c r="C213" s="132"/>
      <c r="D213" s="132"/>
      <c r="E213" s="132"/>
      <c r="F213" s="132"/>
      <c r="G213" s="132"/>
      <c r="H213" s="78"/>
      <c r="I213" s="78"/>
      <c r="J213" s="78"/>
      <c r="K213" s="78"/>
      <c r="L213" s="78"/>
      <c r="M213" s="78"/>
      <c r="N213" s="78"/>
      <c r="O213" s="78"/>
      <c r="W213" s="535"/>
      <c r="X213" s="535"/>
      <c r="Z213" s="535"/>
      <c r="AA213" s="535"/>
      <c r="AB213" s="535"/>
    </row>
    <row r="214" spans="2:28" ht="8.5500000000000007" customHeight="1">
      <c r="B214" s="79"/>
      <c r="C214" s="132"/>
      <c r="D214" s="132"/>
      <c r="E214" s="132"/>
      <c r="F214" s="132"/>
      <c r="G214" s="132"/>
      <c r="H214" s="79"/>
      <c r="I214" s="79"/>
      <c r="J214" s="79"/>
      <c r="K214" s="79"/>
      <c r="L214" s="79"/>
      <c r="M214" s="79"/>
      <c r="N214" s="79"/>
      <c r="O214" s="79"/>
      <c r="W214" s="535"/>
      <c r="X214" s="535"/>
      <c r="Z214" s="535"/>
      <c r="AA214" s="535"/>
      <c r="AB214" s="535"/>
    </row>
    <row r="215" spans="2:28" ht="15.6">
      <c r="B215" s="186"/>
      <c r="C215" s="187">
        <v>2016</v>
      </c>
      <c r="D215" s="187">
        <v>2017</v>
      </c>
      <c r="E215" s="187" t="s">
        <v>40</v>
      </c>
      <c r="F215" s="187" t="s">
        <v>41</v>
      </c>
      <c r="G215" s="187" t="s">
        <v>42</v>
      </c>
      <c r="H215" s="187" t="s">
        <v>43</v>
      </c>
      <c r="I215" s="187" t="s">
        <v>44</v>
      </c>
      <c r="J215" s="187" t="s">
        <v>45</v>
      </c>
      <c r="K215" s="187" t="s">
        <v>46</v>
      </c>
      <c r="L215" s="187" t="s">
        <v>47</v>
      </c>
      <c r="M215" s="187" t="s">
        <v>48</v>
      </c>
      <c r="N215" s="187" t="s">
        <v>49</v>
      </c>
      <c r="O215" s="187" t="s">
        <v>50</v>
      </c>
      <c r="P215" s="187" t="s">
        <v>51</v>
      </c>
      <c r="Q215" s="245" t="s">
        <v>52</v>
      </c>
      <c r="R215" s="245" t="s">
        <v>53</v>
      </c>
      <c r="S215" s="245" t="s">
        <v>54</v>
      </c>
      <c r="T215" s="245" t="s">
        <v>55</v>
      </c>
      <c r="V215" s="186"/>
      <c r="W215" s="536" t="s">
        <v>87</v>
      </c>
      <c r="X215" s="536" t="s">
        <v>56</v>
      </c>
      <c r="Y215" s="536" t="s">
        <v>57</v>
      </c>
      <c r="Z215" s="536" t="s">
        <v>1154</v>
      </c>
      <c r="AA215" s="536" t="str">
        <f>+AA6</f>
        <v>1T23</v>
      </c>
      <c r="AB215" s="536" t="s">
        <v>1207</v>
      </c>
    </row>
    <row r="216" spans="2:28" ht="15">
      <c r="B216" s="174" t="s">
        <v>88</v>
      </c>
      <c r="C216" s="174"/>
      <c r="D216" s="174"/>
      <c r="E216" s="174"/>
      <c r="F216" s="174"/>
      <c r="G216" s="174"/>
      <c r="H216" s="174"/>
      <c r="I216" s="174"/>
      <c r="J216" s="174"/>
      <c r="K216" s="174"/>
      <c r="L216" s="174"/>
      <c r="M216" s="174"/>
      <c r="N216" s="174"/>
      <c r="O216" s="174"/>
      <c r="P216" s="174"/>
      <c r="Q216" s="174"/>
      <c r="R216" s="174"/>
      <c r="S216" s="174"/>
      <c r="T216" s="174"/>
      <c r="V216" s="174" t="s">
        <v>88</v>
      </c>
      <c r="W216" s="549"/>
      <c r="X216" s="549"/>
      <c r="Y216" s="549"/>
      <c r="Z216" s="549"/>
      <c r="AA216" s="549"/>
      <c r="AB216" s="549"/>
    </row>
    <row r="217" spans="2:28" ht="15">
      <c r="B217" s="167" t="s">
        <v>89</v>
      </c>
      <c r="C217" s="168"/>
      <c r="D217" s="168"/>
      <c r="E217" s="168"/>
      <c r="F217" s="168"/>
      <c r="G217" s="168"/>
      <c r="H217" s="168"/>
      <c r="I217" s="168"/>
      <c r="J217" s="168"/>
      <c r="K217" s="168"/>
      <c r="L217" s="168"/>
      <c r="M217" s="168"/>
      <c r="N217" s="168"/>
      <c r="O217" s="168"/>
      <c r="P217" s="168"/>
      <c r="Q217" s="168"/>
      <c r="R217" s="168"/>
      <c r="S217" s="168"/>
      <c r="T217" s="168"/>
      <c r="V217" s="167" t="s">
        <v>89</v>
      </c>
      <c r="W217" s="519"/>
      <c r="X217" s="519"/>
      <c r="Y217" s="519"/>
      <c r="Z217" s="519"/>
      <c r="AA217" s="519"/>
      <c r="AB217" s="519"/>
    </row>
    <row r="218" spans="2:28" ht="15.6">
      <c r="B218" s="184" t="s">
        <v>90</v>
      </c>
      <c r="C218" s="99">
        <v>23401</v>
      </c>
      <c r="D218" s="99">
        <v>39363</v>
      </c>
      <c r="E218" s="99">
        <v>3970</v>
      </c>
      <c r="F218" s="99">
        <v>43640</v>
      </c>
      <c r="G218" s="99">
        <v>42599</v>
      </c>
      <c r="H218" s="99">
        <v>49315</v>
      </c>
      <c r="I218" s="99">
        <v>11868</v>
      </c>
      <c r="J218" s="99">
        <v>19614</v>
      </c>
      <c r="K218" s="99">
        <v>19135</v>
      </c>
      <c r="L218" s="99">
        <v>24281</v>
      </c>
      <c r="M218" s="99">
        <v>28465</v>
      </c>
      <c r="N218" s="99">
        <v>32278</v>
      </c>
      <c r="O218" s="99">
        <v>49396</v>
      </c>
      <c r="P218" s="99">
        <v>55799.534785999997</v>
      </c>
      <c r="Q218" s="99">
        <v>51095.830070999997</v>
      </c>
      <c r="R218" s="99">
        <v>49129</v>
      </c>
      <c r="S218" s="99">
        <v>48692</v>
      </c>
      <c r="T218" s="99">
        <v>44509.236320000004</v>
      </c>
      <c r="V218" s="184" t="s">
        <v>90</v>
      </c>
      <c r="W218" s="99">
        <v>20919.53472</v>
      </c>
      <c r="X218" s="99">
        <v>17397.112867</v>
      </c>
      <c r="Y218" s="99">
        <v>6046.2738920000002</v>
      </c>
      <c r="Z218" s="99">
        <v>3546</v>
      </c>
      <c r="AA218" s="99">
        <v>4560.9004349999996</v>
      </c>
      <c r="AB218" s="610">
        <v>2813.456263</v>
      </c>
    </row>
    <row r="219" spans="2:28" ht="15.6">
      <c r="B219" s="184" t="s">
        <v>91</v>
      </c>
      <c r="C219" s="99">
        <v>53205</v>
      </c>
      <c r="D219" s="99">
        <v>51476</v>
      </c>
      <c r="E219" s="99">
        <v>87951</v>
      </c>
      <c r="F219" s="99">
        <v>54602</v>
      </c>
      <c r="G219" s="99">
        <v>56129</v>
      </c>
      <c r="H219" s="99">
        <v>57373</v>
      </c>
      <c r="I219" s="99">
        <v>94438</v>
      </c>
      <c r="J219" s="99">
        <v>89135</v>
      </c>
      <c r="K219" s="99">
        <v>80692</v>
      </c>
      <c r="L219" s="99">
        <v>77486</v>
      </c>
      <c r="M219" s="99">
        <v>64245</v>
      </c>
      <c r="N219" s="99">
        <v>60220</v>
      </c>
      <c r="O219" s="99">
        <v>28742</v>
      </c>
      <c r="P219" s="99">
        <v>20632.426694999998</v>
      </c>
      <c r="Q219" s="99">
        <f>17668.969429+3015.014599</f>
        <v>20683.984027999999</v>
      </c>
      <c r="R219" s="99">
        <v>20588</v>
      </c>
      <c r="S219" s="99">
        <v>21932</v>
      </c>
      <c r="T219" s="99">
        <v>24396.298483999999</v>
      </c>
      <c r="V219" s="184" t="s">
        <v>91</v>
      </c>
      <c r="W219" s="99">
        <v>2803.9459750000001</v>
      </c>
      <c r="X219" s="99">
        <v>3275.3858409999998</v>
      </c>
      <c r="Y219" s="99">
        <v>2740.2506090000002</v>
      </c>
      <c r="Z219" s="99">
        <v>8668</v>
      </c>
      <c r="AA219" s="99">
        <v>1679.306118</v>
      </c>
      <c r="AB219" s="610">
        <v>544.19908299999997</v>
      </c>
    </row>
    <row r="220" spans="2:28" ht="15.6">
      <c r="B220" s="184" t="s">
        <v>92</v>
      </c>
      <c r="C220" s="99">
        <v>5</v>
      </c>
      <c r="D220" s="99">
        <v>7</v>
      </c>
      <c r="E220" s="99">
        <v>7</v>
      </c>
      <c r="F220" s="99">
        <v>7</v>
      </c>
      <c r="G220" s="99">
        <v>82</v>
      </c>
      <c r="H220" s="99">
        <v>12</v>
      </c>
      <c r="I220" s="99">
        <v>15</v>
      </c>
      <c r="J220" s="99">
        <v>15</v>
      </c>
      <c r="K220" s="99">
        <v>8</v>
      </c>
      <c r="L220" s="99">
        <v>8</v>
      </c>
      <c r="M220" s="99">
        <v>202</v>
      </c>
      <c r="N220" s="99">
        <v>8</v>
      </c>
      <c r="O220" s="99">
        <v>240</v>
      </c>
      <c r="P220" s="99">
        <v>11.244033</v>
      </c>
      <c r="Q220" s="99">
        <v>11.244033</v>
      </c>
      <c r="R220" s="99">
        <v>101</v>
      </c>
      <c r="S220" s="99">
        <v>565</v>
      </c>
      <c r="T220" s="99">
        <v>609.25244199999997</v>
      </c>
      <c r="V220" s="184" t="s">
        <v>92</v>
      </c>
      <c r="W220" s="99">
        <v>13.669385</v>
      </c>
      <c r="X220" s="99">
        <v>13.669385</v>
      </c>
      <c r="Y220" s="99">
        <v>10.810013</v>
      </c>
      <c r="Z220" s="99">
        <v>11</v>
      </c>
      <c r="AA220" s="99">
        <v>5.5992519999999999</v>
      </c>
      <c r="AB220" s="610">
        <v>129.01110199999999</v>
      </c>
    </row>
    <row r="221" spans="2:28" ht="15.6">
      <c r="B221" s="184" t="s">
        <v>94</v>
      </c>
      <c r="C221" s="99">
        <v>298</v>
      </c>
      <c r="D221" s="99">
        <v>291</v>
      </c>
      <c r="E221" s="99">
        <v>200</v>
      </c>
      <c r="F221" s="99">
        <v>664</v>
      </c>
      <c r="G221" s="99">
        <v>579</v>
      </c>
      <c r="H221" s="99">
        <v>549</v>
      </c>
      <c r="I221" s="99">
        <v>352</v>
      </c>
      <c r="J221" s="99">
        <v>263</v>
      </c>
      <c r="K221" s="99">
        <v>182</v>
      </c>
      <c r="L221" s="99">
        <v>533</v>
      </c>
      <c r="M221" s="99">
        <v>536</v>
      </c>
      <c r="N221" s="99">
        <v>430</v>
      </c>
      <c r="O221" s="99">
        <v>291</v>
      </c>
      <c r="P221" s="99">
        <v>803.86814300000003</v>
      </c>
      <c r="Q221" s="99">
        <v>895.31806800000004</v>
      </c>
      <c r="R221" s="99">
        <v>725</v>
      </c>
      <c r="S221" s="99">
        <v>574</v>
      </c>
      <c r="T221" s="99">
        <v>389.93703699999998</v>
      </c>
      <c r="V221" s="184" t="s">
        <v>94</v>
      </c>
      <c r="W221" s="99">
        <v>222.52690699999999</v>
      </c>
      <c r="X221" s="99">
        <v>440.01253000000003</v>
      </c>
      <c r="Y221" s="99">
        <v>265.37055900000001</v>
      </c>
      <c r="Z221" s="99">
        <v>167</v>
      </c>
      <c r="AA221" s="99">
        <v>0</v>
      </c>
      <c r="AB221" s="610">
        <v>0</v>
      </c>
    </row>
    <row r="222" spans="2:28" ht="15.6">
      <c r="B222" s="184" t="s">
        <v>391</v>
      </c>
      <c r="C222" s="99">
        <v>0</v>
      </c>
      <c r="D222" s="99">
        <v>0</v>
      </c>
      <c r="E222" s="99">
        <v>0</v>
      </c>
      <c r="F222" s="99">
        <v>0</v>
      </c>
      <c r="G222" s="99">
        <v>0</v>
      </c>
      <c r="H222" s="99">
        <v>0</v>
      </c>
      <c r="I222" s="99">
        <v>0</v>
      </c>
      <c r="J222" s="99">
        <v>0</v>
      </c>
      <c r="K222" s="99">
        <v>0</v>
      </c>
      <c r="L222" s="99">
        <v>0</v>
      </c>
      <c r="M222" s="99">
        <v>0</v>
      </c>
      <c r="N222" s="99">
        <v>0</v>
      </c>
      <c r="O222" s="99">
        <v>0</v>
      </c>
      <c r="P222" s="99">
        <v>0</v>
      </c>
      <c r="Q222" s="99">
        <v>0</v>
      </c>
      <c r="R222" s="99">
        <v>0</v>
      </c>
      <c r="S222" s="99">
        <v>0</v>
      </c>
      <c r="T222" s="99">
        <v>0</v>
      </c>
      <c r="V222" s="184" t="s">
        <v>391</v>
      </c>
      <c r="W222" s="99">
        <v>0</v>
      </c>
      <c r="X222" s="99">
        <v>0</v>
      </c>
      <c r="Y222" s="99">
        <v>0</v>
      </c>
      <c r="Z222" s="99" t="s">
        <v>1155</v>
      </c>
      <c r="AA222" s="99">
        <v>0</v>
      </c>
      <c r="AB222" s="610">
        <v>0</v>
      </c>
    </row>
    <row r="223" spans="2:28" ht="15.6">
      <c r="B223" s="184" t="s">
        <v>95</v>
      </c>
      <c r="C223" s="99">
        <v>0</v>
      </c>
      <c r="D223" s="99">
        <v>0</v>
      </c>
      <c r="E223" s="99">
        <v>0</v>
      </c>
      <c r="F223" s="99">
        <v>0</v>
      </c>
      <c r="G223" s="99">
        <v>0</v>
      </c>
      <c r="H223" s="99">
        <v>0</v>
      </c>
      <c r="I223" s="99">
        <v>0</v>
      </c>
      <c r="J223" s="99">
        <v>0</v>
      </c>
      <c r="K223" s="99">
        <v>0</v>
      </c>
      <c r="L223" s="99">
        <v>0</v>
      </c>
      <c r="M223" s="99">
        <v>0</v>
      </c>
      <c r="N223" s="99">
        <v>0</v>
      </c>
      <c r="O223" s="99">
        <v>0</v>
      </c>
      <c r="P223" s="99">
        <v>0</v>
      </c>
      <c r="Q223" s="99">
        <v>0</v>
      </c>
      <c r="R223" s="99">
        <v>0</v>
      </c>
      <c r="S223" s="99">
        <v>0</v>
      </c>
      <c r="T223" s="99">
        <v>0</v>
      </c>
      <c r="V223" s="184" t="s">
        <v>95</v>
      </c>
      <c r="W223" s="99">
        <v>0</v>
      </c>
      <c r="X223" s="99">
        <v>0</v>
      </c>
      <c r="Y223" s="99">
        <v>0</v>
      </c>
      <c r="Z223" s="99" t="s">
        <v>1155</v>
      </c>
      <c r="AA223" s="99">
        <v>1.817026</v>
      </c>
      <c r="AB223" s="610">
        <v>0</v>
      </c>
    </row>
    <row r="224" spans="2:28" ht="15">
      <c r="B224" s="121" t="s">
        <v>96</v>
      </c>
      <c r="C224" s="171">
        <v>76909</v>
      </c>
      <c r="D224" s="171">
        <v>91137</v>
      </c>
      <c r="E224" s="171">
        <v>92128</v>
      </c>
      <c r="F224" s="171">
        <v>98913</v>
      </c>
      <c r="G224" s="171">
        <v>99389</v>
      </c>
      <c r="H224" s="171">
        <v>107249</v>
      </c>
      <c r="I224" s="171">
        <v>106673</v>
      </c>
      <c r="J224" s="171">
        <v>109027</v>
      </c>
      <c r="K224" s="171">
        <v>100017</v>
      </c>
      <c r="L224" s="171">
        <v>102308</v>
      </c>
      <c r="M224" s="171">
        <v>93448</v>
      </c>
      <c r="N224" s="171">
        <v>92936</v>
      </c>
      <c r="O224" s="171">
        <v>78669</v>
      </c>
      <c r="P224" s="171">
        <f>SUM(P218:P223)</f>
        <v>77247.073656999986</v>
      </c>
      <c r="Q224" s="171">
        <f>SUM(Q218:Q223)</f>
        <v>72686.376199999984</v>
      </c>
      <c r="R224" s="171">
        <v>70543</v>
      </c>
      <c r="S224" s="171">
        <v>71763</v>
      </c>
      <c r="T224" s="171">
        <v>69904.724282999989</v>
      </c>
      <c r="V224" s="121" t="s">
        <v>96</v>
      </c>
      <c r="W224" s="541">
        <v>23959.676986999999</v>
      </c>
      <c r="X224" s="541">
        <v>21126.180623</v>
      </c>
      <c r="Y224" s="541">
        <v>9062.705073000001</v>
      </c>
      <c r="Z224" s="541">
        <v>12392</v>
      </c>
      <c r="AA224" s="541">
        <v>6247.6228309999997</v>
      </c>
      <c r="AB224" s="541">
        <v>3486.6664479999999</v>
      </c>
    </row>
    <row r="225" spans="2:28" ht="15">
      <c r="B225" s="167" t="s">
        <v>97</v>
      </c>
      <c r="C225" s="168"/>
      <c r="D225" s="168"/>
      <c r="E225" s="168"/>
      <c r="F225" s="168"/>
      <c r="G225" s="168"/>
      <c r="H225" s="168"/>
      <c r="I225" s="168"/>
      <c r="J225" s="168"/>
      <c r="K225" s="168"/>
      <c r="L225" s="168"/>
      <c r="M225" s="168"/>
      <c r="N225" s="168"/>
      <c r="O225" s="168"/>
      <c r="P225" s="168"/>
      <c r="Q225" s="168"/>
      <c r="R225" s="168"/>
      <c r="S225" s="168"/>
      <c r="T225" s="168"/>
      <c r="V225" s="167" t="s">
        <v>97</v>
      </c>
      <c r="W225" s="519"/>
      <c r="X225" s="519">
        <v>0</v>
      </c>
      <c r="Y225" s="519"/>
      <c r="Z225" s="519"/>
      <c r="AA225" s="519"/>
      <c r="AB225" s="519"/>
    </row>
    <row r="226" spans="2:28" ht="15.6">
      <c r="B226" s="184" t="s">
        <v>98</v>
      </c>
      <c r="C226" s="99">
        <v>0</v>
      </c>
      <c r="D226" s="99">
        <v>0</v>
      </c>
      <c r="E226" s="99">
        <v>0</v>
      </c>
      <c r="F226" s="99">
        <v>0</v>
      </c>
      <c r="G226" s="99">
        <v>0</v>
      </c>
      <c r="H226" s="99">
        <v>0</v>
      </c>
      <c r="I226" s="99">
        <v>0</v>
      </c>
      <c r="J226" s="99">
        <v>0</v>
      </c>
      <c r="K226" s="99">
        <v>0</v>
      </c>
      <c r="L226" s="99">
        <v>0</v>
      </c>
      <c r="M226" s="99">
        <v>0</v>
      </c>
      <c r="N226" s="99">
        <v>0</v>
      </c>
      <c r="O226" s="99">
        <v>0</v>
      </c>
      <c r="P226" s="99">
        <v>0</v>
      </c>
      <c r="Q226" s="99">
        <v>0</v>
      </c>
      <c r="R226" s="99">
        <v>0</v>
      </c>
      <c r="S226" s="99">
        <v>0</v>
      </c>
      <c r="T226" s="99">
        <v>0</v>
      </c>
      <c r="V226" s="184" t="s">
        <v>98</v>
      </c>
      <c r="W226" s="99">
        <v>0</v>
      </c>
      <c r="X226" s="99">
        <v>0</v>
      </c>
      <c r="Y226" s="99">
        <v>0</v>
      </c>
      <c r="Z226" s="99" t="s">
        <v>1155</v>
      </c>
      <c r="AA226" s="99">
        <v>0</v>
      </c>
      <c r="AB226" s="542">
        <v>0</v>
      </c>
    </row>
    <row r="227" spans="2:28" ht="15.6">
      <c r="B227" s="184" t="s">
        <v>99</v>
      </c>
      <c r="C227" s="99">
        <v>0</v>
      </c>
      <c r="D227" s="99">
        <v>0</v>
      </c>
      <c r="E227" s="99">
        <v>0</v>
      </c>
      <c r="F227" s="99">
        <v>0</v>
      </c>
      <c r="G227" s="99">
        <v>0</v>
      </c>
      <c r="H227" s="99">
        <v>0</v>
      </c>
      <c r="I227" s="99">
        <v>0</v>
      </c>
      <c r="J227" s="99">
        <v>0</v>
      </c>
      <c r="K227" s="99">
        <v>0</v>
      </c>
      <c r="L227" s="99">
        <v>0</v>
      </c>
      <c r="M227" s="99">
        <v>0</v>
      </c>
      <c r="N227" s="99">
        <v>0</v>
      </c>
      <c r="O227" s="99">
        <v>0</v>
      </c>
      <c r="P227" s="99">
        <v>0</v>
      </c>
      <c r="Q227" s="99">
        <v>0</v>
      </c>
      <c r="R227" s="99">
        <v>0</v>
      </c>
      <c r="S227" s="99">
        <v>0</v>
      </c>
      <c r="T227" s="99">
        <v>0</v>
      </c>
      <c r="V227" s="184" t="s">
        <v>99</v>
      </c>
      <c r="W227" s="99">
        <v>0</v>
      </c>
      <c r="X227" s="99">
        <v>0</v>
      </c>
      <c r="Y227" s="99">
        <v>0</v>
      </c>
      <c r="Z227" s="99" t="s">
        <v>1155</v>
      </c>
      <c r="AA227" s="99">
        <v>0</v>
      </c>
      <c r="AB227" s="542">
        <v>0</v>
      </c>
    </row>
    <row r="228" spans="2:28" ht="30">
      <c r="B228" s="184" t="s">
        <v>150</v>
      </c>
      <c r="C228" s="99">
        <v>0</v>
      </c>
      <c r="D228" s="99">
        <v>0</v>
      </c>
      <c r="E228" s="99">
        <v>0</v>
      </c>
      <c r="F228" s="99">
        <v>0</v>
      </c>
      <c r="G228" s="99">
        <v>0</v>
      </c>
      <c r="H228" s="99">
        <v>0</v>
      </c>
      <c r="I228" s="99">
        <v>0</v>
      </c>
      <c r="J228" s="99">
        <v>0</v>
      </c>
      <c r="K228" s="99">
        <v>0</v>
      </c>
      <c r="L228" s="99">
        <v>0</v>
      </c>
      <c r="M228" s="99">
        <v>0</v>
      </c>
      <c r="N228" s="99">
        <v>0</v>
      </c>
      <c r="O228" s="99">
        <v>0</v>
      </c>
      <c r="P228" s="99">
        <v>0</v>
      </c>
      <c r="Q228" s="99">
        <v>0</v>
      </c>
      <c r="R228" s="99">
        <v>0</v>
      </c>
      <c r="S228" s="99">
        <v>0</v>
      </c>
      <c r="T228" s="99">
        <v>0</v>
      </c>
      <c r="V228" s="184" t="s">
        <v>150</v>
      </c>
      <c r="W228" s="99">
        <v>0</v>
      </c>
      <c r="X228" s="99">
        <v>0</v>
      </c>
      <c r="Y228" s="99">
        <v>0</v>
      </c>
      <c r="Z228" s="99" t="s">
        <v>1155</v>
      </c>
      <c r="AA228" s="99">
        <v>0</v>
      </c>
      <c r="AB228" s="542">
        <v>0</v>
      </c>
    </row>
    <row r="229" spans="2:28" ht="15.6">
      <c r="B229" s="184" t="s">
        <v>151</v>
      </c>
      <c r="C229" s="99">
        <v>0</v>
      </c>
      <c r="D229" s="99">
        <v>0</v>
      </c>
      <c r="E229" s="99">
        <v>0</v>
      </c>
      <c r="F229" s="99">
        <v>0</v>
      </c>
      <c r="G229" s="99">
        <v>0</v>
      </c>
      <c r="H229" s="99">
        <v>0</v>
      </c>
      <c r="I229" s="99">
        <v>0</v>
      </c>
      <c r="J229" s="99">
        <v>0</v>
      </c>
      <c r="K229" s="99">
        <v>0</v>
      </c>
      <c r="L229" s="99">
        <v>0</v>
      </c>
      <c r="M229" s="99">
        <v>0</v>
      </c>
      <c r="N229" s="99">
        <v>0</v>
      </c>
      <c r="O229" s="99">
        <v>0</v>
      </c>
      <c r="P229" s="99">
        <v>0</v>
      </c>
      <c r="Q229" s="99">
        <v>0</v>
      </c>
      <c r="R229" s="99">
        <v>0</v>
      </c>
      <c r="S229" s="99">
        <v>0</v>
      </c>
      <c r="T229" s="99">
        <v>0</v>
      </c>
      <c r="V229" s="184" t="s">
        <v>151</v>
      </c>
      <c r="W229" s="99">
        <v>0</v>
      </c>
      <c r="X229" s="99">
        <v>0</v>
      </c>
      <c r="Y229" s="99">
        <v>0</v>
      </c>
      <c r="Z229" s="99" t="s">
        <v>1155</v>
      </c>
      <c r="AA229" s="99">
        <v>0</v>
      </c>
      <c r="AB229" s="542">
        <v>0</v>
      </c>
    </row>
    <row r="230" spans="2:28" ht="15.6">
      <c r="B230" s="184" t="s">
        <v>91</v>
      </c>
      <c r="C230" s="99">
        <v>68709</v>
      </c>
      <c r="D230" s="99">
        <v>43386</v>
      </c>
      <c r="E230" s="99">
        <v>33047</v>
      </c>
      <c r="F230" s="99">
        <v>29148</v>
      </c>
      <c r="G230" s="99">
        <v>13574</v>
      </c>
      <c r="H230" s="99">
        <v>8311</v>
      </c>
      <c r="I230" s="99">
        <v>0</v>
      </c>
      <c r="J230" s="99">
        <v>0</v>
      </c>
      <c r="K230" s="99">
        <v>0</v>
      </c>
      <c r="L230" s="99">
        <v>0</v>
      </c>
      <c r="M230" s="99">
        <v>0</v>
      </c>
      <c r="N230" s="99">
        <v>0</v>
      </c>
      <c r="O230" s="99">
        <v>0</v>
      </c>
      <c r="P230" s="99">
        <v>0</v>
      </c>
      <c r="Q230" s="99">
        <v>0</v>
      </c>
      <c r="R230" s="99">
        <v>0</v>
      </c>
      <c r="S230" s="99">
        <v>0</v>
      </c>
      <c r="T230" s="99">
        <v>0</v>
      </c>
      <c r="V230" s="184" t="s">
        <v>91</v>
      </c>
      <c r="W230" s="99">
        <v>0</v>
      </c>
      <c r="X230" s="99">
        <v>0</v>
      </c>
      <c r="Y230" s="99">
        <v>0</v>
      </c>
      <c r="Z230" s="99" t="s">
        <v>1155</v>
      </c>
      <c r="AA230" s="99">
        <v>0</v>
      </c>
      <c r="AB230" s="542">
        <v>0</v>
      </c>
    </row>
    <row r="231" spans="2:28" ht="15.6">
      <c r="B231" s="184" t="s">
        <v>102</v>
      </c>
      <c r="C231" s="99">
        <v>0</v>
      </c>
      <c r="D231" s="99">
        <v>0</v>
      </c>
      <c r="E231" s="99">
        <v>0</v>
      </c>
      <c r="F231" s="99">
        <v>0</v>
      </c>
      <c r="G231" s="99">
        <v>0</v>
      </c>
      <c r="H231" s="99">
        <v>0</v>
      </c>
      <c r="I231" s="99">
        <v>0</v>
      </c>
      <c r="J231" s="99">
        <v>0</v>
      </c>
      <c r="K231" s="99">
        <v>0</v>
      </c>
      <c r="L231" s="99">
        <v>0</v>
      </c>
      <c r="M231" s="99">
        <v>0</v>
      </c>
      <c r="N231" s="99">
        <v>0</v>
      </c>
      <c r="O231" s="99">
        <v>0</v>
      </c>
      <c r="P231" s="99">
        <v>0</v>
      </c>
      <c r="Q231" s="99">
        <v>0</v>
      </c>
      <c r="R231" s="99">
        <v>0</v>
      </c>
      <c r="S231" s="99">
        <v>0</v>
      </c>
      <c r="T231" s="99">
        <v>0</v>
      </c>
      <c r="V231" s="184" t="s">
        <v>102</v>
      </c>
      <c r="W231" s="99">
        <v>0</v>
      </c>
      <c r="X231" s="99">
        <v>0</v>
      </c>
      <c r="Y231" s="99">
        <v>0</v>
      </c>
      <c r="Z231" s="99" t="s">
        <v>1155</v>
      </c>
      <c r="AA231" s="99">
        <v>0</v>
      </c>
      <c r="AB231" s="542">
        <v>0</v>
      </c>
    </row>
    <row r="232" spans="2:28" ht="15.6">
      <c r="B232" s="184" t="s">
        <v>103</v>
      </c>
      <c r="C232" s="99">
        <v>243</v>
      </c>
      <c r="D232" s="99">
        <v>355</v>
      </c>
      <c r="E232" s="99">
        <v>328</v>
      </c>
      <c r="F232" s="99">
        <v>301</v>
      </c>
      <c r="G232" s="99">
        <v>303</v>
      </c>
      <c r="H232" s="99">
        <v>278</v>
      </c>
      <c r="I232" s="99">
        <v>363</v>
      </c>
      <c r="J232" s="99">
        <v>277</v>
      </c>
      <c r="K232" s="99">
        <v>254</v>
      </c>
      <c r="L232" s="99">
        <v>234</v>
      </c>
      <c r="M232" s="99">
        <v>207</v>
      </c>
      <c r="N232" s="99">
        <v>183</v>
      </c>
      <c r="O232" s="99">
        <v>160</v>
      </c>
      <c r="P232" s="99">
        <v>142.84178399999999</v>
      </c>
      <c r="Q232" s="99">
        <v>120.689905</v>
      </c>
      <c r="R232" s="99">
        <v>99</v>
      </c>
      <c r="S232" s="99">
        <v>79</v>
      </c>
      <c r="T232" s="99">
        <v>51.387816000000001</v>
      </c>
      <c r="V232" s="184" t="s">
        <v>103</v>
      </c>
      <c r="W232" s="99">
        <v>37.029466999999997</v>
      </c>
      <c r="X232" s="99">
        <v>25.784029</v>
      </c>
      <c r="Y232" s="99">
        <v>15.748084</v>
      </c>
      <c r="Z232" s="99">
        <v>10</v>
      </c>
      <c r="AA232" s="99">
        <v>8.2117609999999992</v>
      </c>
      <c r="AB232" s="542">
        <v>0</v>
      </c>
    </row>
    <row r="233" spans="2:28" ht="15.6">
      <c r="B233" s="184" t="s">
        <v>104</v>
      </c>
      <c r="C233" s="99">
        <v>0</v>
      </c>
      <c r="D233" s="99">
        <v>0</v>
      </c>
      <c r="E233" s="99">
        <v>0</v>
      </c>
      <c r="F233" s="99">
        <v>0</v>
      </c>
      <c r="G233" s="99">
        <v>0</v>
      </c>
      <c r="H233" s="99">
        <v>0</v>
      </c>
      <c r="I233" s="99">
        <v>0</v>
      </c>
      <c r="J233" s="99">
        <v>0</v>
      </c>
      <c r="K233" s="99">
        <v>0</v>
      </c>
      <c r="L233" s="99">
        <v>0</v>
      </c>
      <c r="M233" s="99">
        <v>0</v>
      </c>
      <c r="N233" s="99">
        <v>0</v>
      </c>
      <c r="O233" s="99">
        <v>0</v>
      </c>
      <c r="P233" s="99">
        <v>0</v>
      </c>
      <c r="Q233" s="99">
        <v>0</v>
      </c>
      <c r="R233" s="99">
        <v>0</v>
      </c>
      <c r="S233" s="99">
        <v>0</v>
      </c>
      <c r="T233" s="99">
        <v>0</v>
      </c>
      <c r="V233" s="184" t="s">
        <v>104</v>
      </c>
      <c r="W233" s="99">
        <v>0</v>
      </c>
      <c r="X233" s="99">
        <v>0</v>
      </c>
      <c r="Y233" s="99">
        <v>0</v>
      </c>
      <c r="Z233" s="99" t="s">
        <v>1155</v>
      </c>
      <c r="AA233" s="99">
        <v>0</v>
      </c>
      <c r="AB233" s="542">
        <v>0</v>
      </c>
    </row>
    <row r="234" spans="2:28" ht="15.6">
      <c r="B234" s="184" t="s">
        <v>106</v>
      </c>
      <c r="C234" s="99">
        <v>105</v>
      </c>
      <c r="D234" s="99">
        <v>182</v>
      </c>
      <c r="E234" s="99">
        <v>173</v>
      </c>
      <c r="F234" s="99">
        <v>165</v>
      </c>
      <c r="G234" s="99">
        <v>157</v>
      </c>
      <c r="H234" s="99">
        <v>172</v>
      </c>
      <c r="I234" s="99">
        <v>163</v>
      </c>
      <c r="J234" s="99">
        <v>160</v>
      </c>
      <c r="K234" s="99">
        <v>150</v>
      </c>
      <c r="L234" s="99">
        <v>142</v>
      </c>
      <c r="M234" s="99">
        <v>132</v>
      </c>
      <c r="N234" s="99">
        <v>149</v>
      </c>
      <c r="O234" s="99">
        <v>138</v>
      </c>
      <c r="P234" s="99">
        <v>127.437786</v>
      </c>
      <c r="Q234" s="99">
        <v>141.71082799999999</v>
      </c>
      <c r="R234" s="99">
        <v>130</v>
      </c>
      <c r="S234" s="99">
        <v>118</v>
      </c>
      <c r="T234" s="99">
        <v>106.068003</v>
      </c>
      <c r="V234" s="184" t="s">
        <v>106</v>
      </c>
      <c r="W234" s="99">
        <v>94.187059000000005</v>
      </c>
      <c r="X234" s="99">
        <v>82.306113999999994</v>
      </c>
      <c r="Y234" s="99">
        <v>70.425174999999996</v>
      </c>
      <c r="Z234" s="99">
        <v>60</v>
      </c>
      <c r="AA234" s="99">
        <v>52.551175000000001</v>
      </c>
      <c r="AB234" s="542">
        <v>0</v>
      </c>
    </row>
    <row r="235" spans="2:28" ht="15.6">
      <c r="B235" s="184" t="s">
        <v>94</v>
      </c>
      <c r="C235" s="99">
        <v>0</v>
      </c>
      <c r="D235" s="99">
        <v>0</v>
      </c>
      <c r="E235" s="99">
        <v>0</v>
      </c>
      <c r="F235" s="99">
        <v>0</v>
      </c>
      <c r="G235" s="99">
        <v>0</v>
      </c>
      <c r="H235" s="99">
        <v>0</v>
      </c>
      <c r="I235" s="99">
        <v>0</v>
      </c>
      <c r="J235" s="99">
        <v>0</v>
      </c>
      <c r="K235" s="99">
        <v>0</v>
      </c>
      <c r="L235" s="99">
        <v>0</v>
      </c>
      <c r="M235" s="99">
        <v>0</v>
      </c>
      <c r="N235" s="99">
        <v>0</v>
      </c>
      <c r="O235" s="99">
        <v>0</v>
      </c>
      <c r="P235" s="99">
        <v>0</v>
      </c>
      <c r="Q235" s="99">
        <v>0</v>
      </c>
      <c r="R235" s="99">
        <v>0</v>
      </c>
      <c r="S235" s="99">
        <v>0</v>
      </c>
      <c r="T235" s="99">
        <v>0</v>
      </c>
      <c r="V235" s="184" t="s">
        <v>94</v>
      </c>
      <c r="W235" s="99">
        <v>0</v>
      </c>
      <c r="X235" s="99">
        <v>0</v>
      </c>
      <c r="Y235" s="99">
        <v>0</v>
      </c>
      <c r="Z235" s="99" t="s">
        <v>1155</v>
      </c>
      <c r="AA235" s="99">
        <v>0</v>
      </c>
      <c r="AB235" s="542">
        <v>0</v>
      </c>
    </row>
    <row r="236" spans="2:28" ht="15.6">
      <c r="B236" s="184" t="s">
        <v>107</v>
      </c>
      <c r="C236" s="99">
        <v>4049</v>
      </c>
      <c r="D236" s="99">
        <v>0</v>
      </c>
      <c r="E236" s="99">
        <v>164</v>
      </c>
      <c r="F236" s="99">
        <v>309</v>
      </c>
      <c r="G236" s="99">
        <v>559</v>
      </c>
      <c r="H236" s="99">
        <v>1608</v>
      </c>
      <c r="I236" s="99">
        <v>1624</v>
      </c>
      <c r="J236" s="99">
        <v>1841</v>
      </c>
      <c r="K236" s="99">
        <v>1756</v>
      </c>
      <c r="L236" s="99">
        <v>1843</v>
      </c>
      <c r="M236" s="99">
        <v>2213</v>
      </c>
      <c r="N236" s="99">
        <v>2542</v>
      </c>
      <c r="O236" s="99">
        <v>2889</v>
      </c>
      <c r="P236" s="99">
        <v>1512.610109</v>
      </c>
      <c r="Q236" s="99">
        <v>1459.694346</v>
      </c>
      <c r="R236" s="99">
        <v>942</v>
      </c>
      <c r="S236" s="99">
        <v>7982</v>
      </c>
      <c r="T236" s="99">
        <v>9772.8495739999998</v>
      </c>
      <c r="V236" s="184" t="s">
        <v>107</v>
      </c>
      <c r="W236" s="99">
        <v>9843.1334079999997</v>
      </c>
      <c r="X236" s="99">
        <v>12219.639773999999</v>
      </c>
      <c r="Y236" s="99">
        <v>3938.9093499999999</v>
      </c>
      <c r="Z236" s="99">
        <v>1916</v>
      </c>
      <c r="AA236" s="99">
        <v>0</v>
      </c>
      <c r="AB236" s="542">
        <v>0</v>
      </c>
    </row>
    <row r="237" spans="2:28" ht="15.6">
      <c r="B237" s="184" t="s">
        <v>108</v>
      </c>
      <c r="C237" s="99">
        <v>0</v>
      </c>
      <c r="D237" s="99">
        <v>0</v>
      </c>
      <c r="E237" s="99">
        <v>0</v>
      </c>
      <c r="F237" s="99">
        <v>0</v>
      </c>
      <c r="G237" s="99">
        <v>0</v>
      </c>
      <c r="H237" s="99">
        <v>0</v>
      </c>
      <c r="I237" s="99">
        <v>-5</v>
      </c>
      <c r="J237" s="99">
        <v>50</v>
      </c>
      <c r="K237" s="99">
        <v>43</v>
      </c>
      <c r="L237" s="99">
        <v>114</v>
      </c>
      <c r="M237" s="99">
        <v>99</v>
      </c>
      <c r="N237" s="99">
        <v>87</v>
      </c>
      <c r="O237" s="99">
        <v>99</v>
      </c>
      <c r="P237" s="99">
        <v>84.695992000000004</v>
      </c>
      <c r="Q237" s="99">
        <v>71.290600999999995</v>
      </c>
      <c r="R237" s="99">
        <v>69</v>
      </c>
      <c r="S237" s="99">
        <v>54</v>
      </c>
      <c r="T237" s="99">
        <v>39.985019999999999</v>
      </c>
      <c r="V237" s="184" t="s">
        <v>108</v>
      </c>
      <c r="W237" s="99">
        <v>26.281162999999999</v>
      </c>
      <c r="X237" s="99">
        <v>15.207227</v>
      </c>
      <c r="Y237" s="99">
        <v>3.7456130000000001</v>
      </c>
      <c r="Z237" s="99" t="s">
        <v>1155</v>
      </c>
      <c r="AA237" s="99">
        <v>0</v>
      </c>
      <c r="AB237" s="542">
        <v>0</v>
      </c>
    </row>
    <row r="238" spans="2:28" ht="15.6">
      <c r="B238" s="184" t="s">
        <v>95</v>
      </c>
      <c r="C238" s="99">
        <v>0</v>
      </c>
      <c r="D238" s="99">
        <v>0</v>
      </c>
      <c r="E238" s="99">
        <v>0</v>
      </c>
      <c r="F238" s="99">
        <v>0</v>
      </c>
      <c r="G238" s="99">
        <v>0</v>
      </c>
      <c r="H238" s="99">
        <v>0</v>
      </c>
      <c r="I238" s="99">
        <v>0</v>
      </c>
      <c r="J238" s="99">
        <v>0</v>
      </c>
      <c r="K238" s="99">
        <v>0</v>
      </c>
      <c r="L238" s="99">
        <v>0</v>
      </c>
      <c r="M238" s="99">
        <v>0</v>
      </c>
      <c r="N238" s="99">
        <v>0</v>
      </c>
      <c r="O238" s="99">
        <v>0</v>
      </c>
      <c r="P238" s="99">
        <v>0</v>
      </c>
      <c r="Q238" s="99">
        <v>0</v>
      </c>
      <c r="R238" s="99">
        <v>0</v>
      </c>
      <c r="S238" s="99">
        <v>0</v>
      </c>
      <c r="T238" s="99">
        <v>0</v>
      </c>
      <c r="V238" s="184" t="s">
        <v>95</v>
      </c>
      <c r="W238" s="99">
        <v>0</v>
      </c>
      <c r="X238" s="99">
        <v>0</v>
      </c>
      <c r="Y238" s="99">
        <v>0</v>
      </c>
      <c r="Z238" s="99">
        <v>12453</v>
      </c>
      <c r="AA238" s="99">
        <v>12741.340349</v>
      </c>
      <c r="AB238" s="542">
        <v>2236.924426</v>
      </c>
    </row>
    <row r="239" spans="2:28" ht="15">
      <c r="B239" s="167" t="s">
        <v>110</v>
      </c>
      <c r="C239" s="172">
        <v>73106</v>
      </c>
      <c r="D239" s="172">
        <v>43923</v>
      </c>
      <c r="E239" s="172">
        <v>33712</v>
      </c>
      <c r="F239" s="172">
        <v>29923</v>
      </c>
      <c r="G239" s="172">
        <v>14593</v>
      </c>
      <c r="H239" s="172">
        <v>10369</v>
      </c>
      <c r="I239" s="172">
        <v>2145</v>
      </c>
      <c r="J239" s="172">
        <v>2328</v>
      </c>
      <c r="K239" s="172">
        <v>2203</v>
      </c>
      <c r="L239" s="172">
        <v>2333</v>
      </c>
      <c r="M239" s="172">
        <v>2651</v>
      </c>
      <c r="N239" s="172">
        <v>2961</v>
      </c>
      <c r="O239" s="172">
        <v>3286</v>
      </c>
      <c r="P239" s="172">
        <f>SUM(P226:P238)</f>
        <v>1867.5856709999998</v>
      </c>
      <c r="Q239" s="172">
        <f>SUM(Q226:Q238)</f>
        <v>1793.3856799999999</v>
      </c>
      <c r="R239" s="172">
        <v>1240</v>
      </c>
      <c r="S239" s="172">
        <v>8233</v>
      </c>
      <c r="T239" s="172">
        <v>9970.2904130000006</v>
      </c>
      <c r="V239" s="167" t="s">
        <v>110</v>
      </c>
      <c r="W239" s="543">
        <v>10000.631096999999</v>
      </c>
      <c r="X239" s="543">
        <v>12342.937144</v>
      </c>
      <c r="Y239" s="543">
        <v>4028.8282220000001</v>
      </c>
      <c r="Z239" s="543">
        <v>14439</v>
      </c>
      <c r="AA239" s="543">
        <v>12802.103284999999</v>
      </c>
      <c r="AB239" s="543">
        <v>2236.924426</v>
      </c>
    </row>
    <row r="240" spans="2:28" ht="15">
      <c r="B240" s="121" t="s">
        <v>111</v>
      </c>
      <c r="C240" s="171">
        <v>150015</v>
      </c>
      <c r="D240" s="171">
        <v>135060</v>
      </c>
      <c r="E240" s="171">
        <v>125840</v>
      </c>
      <c r="F240" s="171">
        <v>128836</v>
      </c>
      <c r="G240" s="171">
        <v>113982</v>
      </c>
      <c r="H240" s="171">
        <v>117618</v>
      </c>
      <c r="I240" s="171">
        <v>108818</v>
      </c>
      <c r="J240" s="171">
        <v>111355</v>
      </c>
      <c r="K240" s="171">
        <v>102220</v>
      </c>
      <c r="L240" s="171">
        <v>104641</v>
      </c>
      <c r="M240" s="171">
        <v>96099</v>
      </c>
      <c r="N240" s="171">
        <v>95897</v>
      </c>
      <c r="O240" s="171">
        <v>81955</v>
      </c>
      <c r="P240" s="171">
        <f>+P224+P239</f>
        <v>79114.65932799998</v>
      </c>
      <c r="Q240" s="171">
        <f>+Q224+Q239</f>
        <v>74479.761879999991</v>
      </c>
      <c r="R240" s="171">
        <v>71783</v>
      </c>
      <c r="S240" s="171">
        <v>79996</v>
      </c>
      <c r="T240" s="171">
        <v>79875.014695999984</v>
      </c>
      <c r="V240" s="121" t="s">
        <v>111</v>
      </c>
      <c r="W240" s="541">
        <v>33960.308083999997</v>
      </c>
      <c r="X240" s="541">
        <v>33469.117767000003</v>
      </c>
      <c r="Y240" s="541">
        <v>13091.533295000001</v>
      </c>
      <c r="Z240" s="541">
        <v>26832</v>
      </c>
      <c r="AA240" s="541">
        <v>19049.726115999998</v>
      </c>
      <c r="AB240" s="541">
        <v>5723.5908739999995</v>
      </c>
    </row>
    <row r="241" spans="2:28" ht="15">
      <c r="B241" s="123"/>
      <c r="C241" s="173"/>
      <c r="D241" s="173"/>
      <c r="E241" s="173"/>
      <c r="F241" s="173"/>
      <c r="G241" s="173"/>
      <c r="H241" s="173"/>
      <c r="I241" s="173"/>
      <c r="J241" s="173"/>
      <c r="K241" s="173"/>
      <c r="L241" s="173"/>
      <c r="M241" s="173"/>
      <c r="N241" s="173"/>
      <c r="O241" s="173"/>
      <c r="P241" s="173"/>
      <c r="Q241" s="173"/>
      <c r="R241" s="173"/>
      <c r="S241" s="173">
        <v>0</v>
      </c>
      <c r="T241" s="173"/>
      <c r="V241" s="123"/>
      <c r="W241" s="550"/>
      <c r="X241" s="550"/>
      <c r="Y241" s="545"/>
      <c r="Z241" s="545"/>
      <c r="AA241" s="545"/>
      <c r="AB241" s="545"/>
    </row>
    <row r="242" spans="2:28" ht="15">
      <c r="B242" s="174" t="s">
        <v>112</v>
      </c>
      <c r="C242" s="175"/>
      <c r="D242" s="175"/>
      <c r="E242" s="175"/>
      <c r="F242" s="175"/>
      <c r="G242" s="175"/>
      <c r="H242" s="175"/>
      <c r="I242" s="175"/>
      <c r="J242" s="175"/>
      <c r="K242" s="175"/>
      <c r="L242" s="175"/>
      <c r="M242" s="175"/>
      <c r="N242" s="175"/>
      <c r="O242" s="175"/>
      <c r="P242" s="175"/>
      <c r="Q242" s="175"/>
      <c r="R242" s="175"/>
      <c r="S242" s="175"/>
      <c r="T242" s="175"/>
      <c r="V242" s="174" t="s">
        <v>112</v>
      </c>
      <c r="W242" s="547"/>
      <c r="X242" s="547"/>
      <c r="Y242" s="547"/>
      <c r="Z242" s="547"/>
      <c r="AA242" s="547"/>
      <c r="AB242" s="547"/>
    </row>
    <row r="243" spans="2:28" ht="15">
      <c r="B243" s="167" t="s">
        <v>113</v>
      </c>
      <c r="C243" s="176"/>
      <c r="D243" s="176"/>
      <c r="E243" s="176"/>
      <c r="F243" s="176"/>
      <c r="G243" s="176"/>
      <c r="H243" s="176"/>
      <c r="I243" s="176"/>
      <c r="J243" s="176"/>
      <c r="K243" s="176"/>
      <c r="L243" s="176"/>
      <c r="M243" s="176"/>
      <c r="N243" s="176"/>
      <c r="O243" s="176"/>
      <c r="P243" s="176"/>
      <c r="Q243" s="176"/>
      <c r="R243" s="176"/>
      <c r="S243" s="176"/>
      <c r="T243" s="176"/>
      <c r="V243" s="167" t="s">
        <v>113</v>
      </c>
      <c r="W243" s="548"/>
      <c r="X243" s="548"/>
      <c r="Y243" s="548"/>
      <c r="Z243" s="548"/>
      <c r="AA243" s="548"/>
      <c r="AB243" s="548"/>
    </row>
    <row r="244" spans="2:28" ht="15.6">
      <c r="B244" s="184" t="s">
        <v>114</v>
      </c>
      <c r="C244" s="99">
        <v>26862</v>
      </c>
      <c r="D244" s="99">
        <v>25545</v>
      </c>
      <c r="E244" s="99">
        <v>23227</v>
      </c>
      <c r="F244" s="99">
        <v>25175</v>
      </c>
      <c r="G244" s="99">
        <v>18378</v>
      </c>
      <c r="H244" s="99">
        <v>20071</v>
      </c>
      <c r="I244" s="99">
        <v>17704</v>
      </c>
      <c r="J244" s="99">
        <v>19303</v>
      </c>
      <c r="K244" s="99">
        <v>20521</v>
      </c>
      <c r="L244" s="99">
        <v>21756</v>
      </c>
      <c r="M244" s="99">
        <v>21861</v>
      </c>
      <c r="N244" s="99">
        <v>22835</v>
      </c>
      <c r="O244" s="99">
        <v>9368</v>
      </c>
      <c r="P244" s="99">
        <v>9941.8127139999997</v>
      </c>
      <c r="Q244" s="99">
        <v>7864.3680999999997</v>
      </c>
      <c r="R244" s="99">
        <v>8341</v>
      </c>
      <c r="S244" s="99">
        <v>15954</v>
      </c>
      <c r="T244" s="99">
        <v>49698.744444999997</v>
      </c>
      <c r="V244" s="184" t="s">
        <v>114</v>
      </c>
      <c r="W244" s="99">
        <v>0</v>
      </c>
      <c r="X244" s="99">
        <v>0</v>
      </c>
      <c r="Y244" s="99">
        <v>0</v>
      </c>
      <c r="Z244" s="99" t="s">
        <v>1155</v>
      </c>
      <c r="AA244" s="99">
        <v>0</v>
      </c>
      <c r="AB244" s="542">
        <v>0</v>
      </c>
    </row>
    <row r="245" spans="2:28" ht="15.6">
      <c r="B245" s="184" t="s">
        <v>115</v>
      </c>
      <c r="C245" s="99">
        <v>388</v>
      </c>
      <c r="D245" s="99">
        <v>620</v>
      </c>
      <c r="E245" s="99">
        <v>1100</v>
      </c>
      <c r="F245" s="99">
        <v>1752</v>
      </c>
      <c r="G245" s="99">
        <v>782</v>
      </c>
      <c r="H245" s="99">
        <v>958</v>
      </c>
      <c r="I245" s="99">
        <v>505</v>
      </c>
      <c r="J245" s="99">
        <v>750</v>
      </c>
      <c r="K245" s="99">
        <v>1005</v>
      </c>
      <c r="L245" s="99">
        <v>2052</v>
      </c>
      <c r="M245" s="99">
        <v>2685</v>
      </c>
      <c r="N245" s="99">
        <v>2025</v>
      </c>
      <c r="O245" s="99">
        <v>1696</v>
      </c>
      <c r="P245" s="99">
        <v>3977.6526309999999</v>
      </c>
      <c r="Q245" s="99">
        <f>8207.223311-3.539753</f>
        <v>8203.6835580000006</v>
      </c>
      <c r="R245" s="99">
        <v>6166</v>
      </c>
      <c r="S245" s="99">
        <v>5963</v>
      </c>
      <c r="T245" s="99">
        <v>4593.392296</v>
      </c>
      <c r="V245" s="184" t="s">
        <v>115</v>
      </c>
      <c r="W245" s="99">
        <v>5413.4829810000001</v>
      </c>
      <c r="X245" s="99">
        <v>5212.7364619999998</v>
      </c>
      <c r="Y245" s="99">
        <v>4120.3908849999998</v>
      </c>
      <c r="Z245" s="99">
        <v>6143</v>
      </c>
      <c r="AA245" s="99">
        <v>834.76497700000004</v>
      </c>
      <c r="AB245" s="542">
        <v>604.22604100000001</v>
      </c>
    </row>
    <row r="246" spans="2:28" ht="15.6">
      <c r="B246" s="184" t="s">
        <v>117</v>
      </c>
      <c r="C246" s="99">
        <v>26</v>
      </c>
      <c r="D246" s="99">
        <v>33</v>
      </c>
      <c r="E246" s="99">
        <v>27</v>
      </c>
      <c r="F246" s="99">
        <v>31</v>
      </c>
      <c r="G246" s="99">
        <v>35</v>
      </c>
      <c r="H246" s="99">
        <v>31</v>
      </c>
      <c r="I246" s="99">
        <v>21</v>
      </c>
      <c r="J246" s="99">
        <v>23</v>
      </c>
      <c r="K246" s="99">
        <v>24</v>
      </c>
      <c r="L246" s="99">
        <v>29</v>
      </c>
      <c r="M246" s="99">
        <v>22</v>
      </c>
      <c r="N246" s="99">
        <v>32</v>
      </c>
      <c r="O246" s="99">
        <v>31</v>
      </c>
      <c r="P246" s="99">
        <v>35.794066000000001</v>
      </c>
      <c r="Q246" s="99">
        <v>29.997641000000002</v>
      </c>
      <c r="R246" s="99">
        <v>37</v>
      </c>
      <c r="S246" s="99">
        <v>37</v>
      </c>
      <c r="T246" s="99">
        <v>38.232610000000001</v>
      </c>
      <c r="V246" s="184" t="s">
        <v>117</v>
      </c>
      <c r="W246" s="99">
        <v>32.318117999999998</v>
      </c>
      <c r="X246" s="99">
        <v>36.517426999999998</v>
      </c>
      <c r="Y246" s="99">
        <v>39.335427000000003</v>
      </c>
      <c r="Z246" s="99">
        <v>42</v>
      </c>
      <c r="AA246" s="99">
        <v>0</v>
      </c>
      <c r="AB246" s="542">
        <v>0</v>
      </c>
    </row>
    <row r="247" spans="2:28" ht="15.6">
      <c r="B247" s="184" t="s">
        <v>92</v>
      </c>
      <c r="C247" s="99">
        <v>881</v>
      </c>
      <c r="D247" s="99">
        <v>772</v>
      </c>
      <c r="E247" s="99">
        <v>599</v>
      </c>
      <c r="F247" s="99">
        <v>329</v>
      </c>
      <c r="G247" s="99">
        <v>2</v>
      </c>
      <c r="H247" s="99">
        <v>381</v>
      </c>
      <c r="I247" s="99">
        <v>622</v>
      </c>
      <c r="J247" s="99">
        <v>376</v>
      </c>
      <c r="K247" s="99">
        <v>447</v>
      </c>
      <c r="L247" s="99">
        <v>711</v>
      </c>
      <c r="M247" s="99">
        <v>3</v>
      </c>
      <c r="N247" s="99">
        <v>277</v>
      </c>
      <c r="O247" s="99">
        <v>4</v>
      </c>
      <c r="P247" s="99">
        <v>402.43116500000002</v>
      </c>
      <c r="Q247" s="99">
        <f>1569.5422877+3.539753</f>
        <v>1573.0820407000001</v>
      </c>
      <c r="R247" s="99">
        <v>2</v>
      </c>
      <c r="S247" s="99">
        <v>7</v>
      </c>
      <c r="T247" s="99">
        <v>0</v>
      </c>
      <c r="V247" s="184" t="s">
        <v>92</v>
      </c>
      <c r="W247" s="99">
        <v>577.08931199999995</v>
      </c>
      <c r="X247" s="99">
        <v>514.81174699999997</v>
      </c>
      <c r="Y247" s="99">
        <v>530.39156500000001</v>
      </c>
      <c r="Z247" s="99">
        <v>137</v>
      </c>
      <c r="AA247" s="99">
        <v>36.733499000000002</v>
      </c>
      <c r="AB247" s="542">
        <v>0</v>
      </c>
    </row>
    <row r="248" spans="2:28" ht="15.6">
      <c r="B248" s="184" t="s">
        <v>118</v>
      </c>
      <c r="C248" s="99">
        <v>194</v>
      </c>
      <c r="D248" s="99">
        <v>8</v>
      </c>
      <c r="E248" s="99">
        <v>0</v>
      </c>
      <c r="F248" s="99">
        <v>0</v>
      </c>
      <c r="G248" s="99">
        <v>391</v>
      </c>
      <c r="H248" s="99">
        <v>0</v>
      </c>
      <c r="I248" s="99">
        <v>817</v>
      </c>
      <c r="J248" s="99">
        <v>1142</v>
      </c>
      <c r="K248" s="99">
        <v>1204</v>
      </c>
      <c r="L248" s="99">
        <v>403</v>
      </c>
      <c r="M248" s="99">
        <v>723</v>
      </c>
      <c r="N248" s="99">
        <v>808</v>
      </c>
      <c r="O248" s="99">
        <v>712</v>
      </c>
      <c r="P248" s="99">
        <v>993.08586100000002</v>
      </c>
      <c r="Q248" s="99">
        <v>419.40636999999998</v>
      </c>
      <c r="R248" s="99">
        <v>1460</v>
      </c>
      <c r="S248" s="99">
        <v>1381</v>
      </c>
      <c r="T248" s="99">
        <v>1154.4422910000001</v>
      </c>
      <c r="V248" s="184" t="s">
        <v>118</v>
      </c>
      <c r="W248" s="99">
        <v>1706.1004029999999</v>
      </c>
      <c r="X248" s="99">
        <v>661.47561199999996</v>
      </c>
      <c r="Y248" s="99">
        <v>502.832289</v>
      </c>
      <c r="Z248" s="99">
        <v>79</v>
      </c>
      <c r="AA248" s="99">
        <v>80.044830000000005</v>
      </c>
      <c r="AB248" s="542">
        <v>63.184885000000001</v>
      </c>
    </row>
    <row r="249" spans="2:28" ht="15.6">
      <c r="B249" s="184" t="s">
        <v>116</v>
      </c>
      <c r="C249" s="99">
        <v>814</v>
      </c>
      <c r="D249" s="99">
        <v>983</v>
      </c>
      <c r="E249" s="99">
        <v>142</v>
      </c>
      <c r="F249" s="99">
        <v>204</v>
      </c>
      <c r="G249" s="99">
        <v>269</v>
      </c>
      <c r="H249" s="99">
        <v>597</v>
      </c>
      <c r="I249" s="99">
        <v>151</v>
      </c>
      <c r="J249" s="99">
        <v>193</v>
      </c>
      <c r="K249" s="99">
        <v>241</v>
      </c>
      <c r="L249" s="99">
        <v>463</v>
      </c>
      <c r="M249" s="99">
        <v>713</v>
      </c>
      <c r="N249" s="99">
        <v>200</v>
      </c>
      <c r="O249" s="99">
        <v>245</v>
      </c>
      <c r="P249" s="99">
        <v>359.39655299999998</v>
      </c>
      <c r="Q249" s="99">
        <v>163.96799999999999</v>
      </c>
      <c r="R249" s="99">
        <v>215</v>
      </c>
      <c r="S249" s="99">
        <v>294</v>
      </c>
      <c r="T249" s="99">
        <v>527.63570000000004</v>
      </c>
      <c r="V249" s="184" t="s">
        <v>116</v>
      </c>
      <c r="W249" s="99">
        <v>178.42062300000001</v>
      </c>
      <c r="X249" s="99">
        <v>241.211052</v>
      </c>
      <c r="Y249" s="99">
        <v>305.78454299999999</v>
      </c>
      <c r="Z249" s="99">
        <v>1035</v>
      </c>
      <c r="AA249" s="99">
        <v>2331.0252620000001</v>
      </c>
      <c r="AB249" s="542">
        <v>113.42201799999999</v>
      </c>
    </row>
    <row r="250" spans="2:28" ht="15.6">
      <c r="B250" s="184" t="s">
        <v>119</v>
      </c>
      <c r="C250" s="99">
        <v>0</v>
      </c>
      <c r="D250" s="99">
        <v>0</v>
      </c>
      <c r="E250" s="99">
        <v>0</v>
      </c>
      <c r="F250" s="99">
        <v>0</v>
      </c>
      <c r="G250" s="99">
        <v>0</v>
      </c>
      <c r="H250" s="99">
        <v>0</v>
      </c>
      <c r="I250" s="99">
        <v>0</v>
      </c>
      <c r="J250" s="99">
        <v>0</v>
      </c>
      <c r="K250" s="99">
        <v>0</v>
      </c>
      <c r="L250" s="99">
        <v>0</v>
      </c>
      <c r="M250" s="99">
        <v>0</v>
      </c>
      <c r="N250" s="99">
        <v>0</v>
      </c>
      <c r="O250" s="99">
        <v>0</v>
      </c>
      <c r="P250" s="99">
        <v>3091.8369189999999</v>
      </c>
      <c r="Q250" s="99">
        <v>3197.414385</v>
      </c>
      <c r="R250" s="99">
        <v>2383</v>
      </c>
      <c r="S250" s="99">
        <v>3091</v>
      </c>
      <c r="T250" s="99">
        <v>113.973</v>
      </c>
      <c r="V250" s="184" t="s">
        <v>119</v>
      </c>
      <c r="W250" s="99">
        <v>2176.1364899999999</v>
      </c>
      <c r="X250" s="99">
        <v>0</v>
      </c>
      <c r="Y250" s="99">
        <v>-23.796181000000001</v>
      </c>
      <c r="Z250" s="99">
        <v>443</v>
      </c>
      <c r="AA250" s="99">
        <v>0</v>
      </c>
      <c r="AB250" s="542">
        <v>0</v>
      </c>
    </row>
    <row r="251" spans="2:28" ht="15.6">
      <c r="B251" s="184" t="s">
        <v>152</v>
      </c>
      <c r="C251" s="99">
        <v>0</v>
      </c>
      <c r="D251" s="99">
        <v>0</v>
      </c>
      <c r="E251" s="99">
        <v>0</v>
      </c>
      <c r="F251" s="99">
        <v>0</v>
      </c>
      <c r="G251" s="99">
        <v>0</v>
      </c>
      <c r="H251" s="99">
        <v>0</v>
      </c>
      <c r="I251" s="99">
        <v>0</v>
      </c>
      <c r="J251" s="99">
        <v>0</v>
      </c>
      <c r="K251" s="99">
        <v>0</v>
      </c>
      <c r="L251" s="99">
        <v>0</v>
      </c>
      <c r="M251" s="99">
        <v>0</v>
      </c>
      <c r="N251" s="99">
        <v>0</v>
      </c>
      <c r="O251" s="99">
        <v>0</v>
      </c>
      <c r="P251" s="99">
        <v>0</v>
      </c>
      <c r="Q251" s="99">
        <v>0</v>
      </c>
      <c r="R251" s="99">
        <v>0</v>
      </c>
      <c r="S251" s="99">
        <v>0</v>
      </c>
      <c r="T251" s="99">
        <v>0</v>
      </c>
      <c r="V251" s="184" t="s">
        <v>152</v>
      </c>
      <c r="W251" s="99"/>
      <c r="X251" s="99">
        <v>0</v>
      </c>
      <c r="Y251" s="99">
        <v>0</v>
      </c>
      <c r="Z251" s="99" t="s">
        <v>1155</v>
      </c>
      <c r="AA251" s="99">
        <v>0</v>
      </c>
      <c r="AB251" s="542">
        <v>0</v>
      </c>
    </row>
    <row r="252" spans="2:28" ht="15">
      <c r="B252" s="167" t="s">
        <v>121</v>
      </c>
      <c r="C252" s="172">
        <v>29165</v>
      </c>
      <c r="D252" s="172">
        <v>27961</v>
      </c>
      <c r="E252" s="172">
        <v>25095</v>
      </c>
      <c r="F252" s="172">
        <v>27491</v>
      </c>
      <c r="G252" s="172">
        <v>19857</v>
      </c>
      <c r="H252" s="172">
        <v>22038</v>
      </c>
      <c r="I252" s="172">
        <v>19820</v>
      </c>
      <c r="J252" s="172">
        <v>21787</v>
      </c>
      <c r="K252" s="172">
        <v>23442</v>
      </c>
      <c r="L252" s="172">
        <v>25414</v>
      </c>
      <c r="M252" s="172">
        <v>26007</v>
      </c>
      <c r="N252" s="172">
        <v>26177</v>
      </c>
      <c r="O252" s="172">
        <v>12056</v>
      </c>
      <c r="P252" s="172">
        <f>SUM(P244:P251)</f>
        <v>18802.009909</v>
      </c>
      <c r="Q252" s="172">
        <f>SUM(Q244:Q251)</f>
        <v>21451.920094700003</v>
      </c>
      <c r="R252" s="172">
        <v>18604</v>
      </c>
      <c r="S252" s="172">
        <v>26727</v>
      </c>
      <c r="T252" s="172">
        <v>56126.42034199999</v>
      </c>
      <c r="V252" s="167" t="s">
        <v>121</v>
      </c>
      <c r="W252" s="543">
        <v>10083.547927</v>
      </c>
      <c r="X252" s="543">
        <v>6666.7522999999992</v>
      </c>
      <c r="Y252" s="543">
        <v>5474.9385279999997</v>
      </c>
      <c r="Z252" s="543">
        <v>7879</v>
      </c>
      <c r="AA252" s="543">
        <v>3282.5685680000001</v>
      </c>
      <c r="AB252" s="543">
        <v>780.832944</v>
      </c>
    </row>
    <row r="253" spans="2:28" ht="15">
      <c r="B253" s="177" t="s">
        <v>122</v>
      </c>
      <c r="C253" s="178"/>
      <c r="D253" s="178"/>
      <c r="E253" s="178"/>
      <c r="F253" s="178"/>
      <c r="G253" s="178"/>
      <c r="H253" s="178"/>
      <c r="I253" s="178"/>
      <c r="J253" s="178"/>
      <c r="K253" s="178"/>
      <c r="L253" s="178"/>
      <c r="M253" s="178"/>
      <c r="N253" s="178"/>
      <c r="O253" s="178"/>
      <c r="P253" s="178"/>
      <c r="Q253" s="178"/>
      <c r="R253" s="178"/>
      <c r="S253" s="178"/>
      <c r="T253" s="178"/>
      <c r="V253" s="177" t="s">
        <v>122</v>
      </c>
      <c r="W253" s="544"/>
      <c r="X253" s="544">
        <v>0</v>
      </c>
      <c r="Y253" s="544"/>
      <c r="Z253" s="544"/>
      <c r="AA253" s="544"/>
      <c r="AB253" s="544"/>
    </row>
    <row r="254" spans="2:28" ht="15.6">
      <c r="B254" s="184" t="s">
        <v>114</v>
      </c>
      <c r="C254" s="99">
        <v>95874</v>
      </c>
      <c r="D254" s="99">
        <v>82408</v>
      </c>
      <c r="E254" s="99">
        <v>76134</v>
      </c>
      <c r="F254" s="99">
        <v>76709</v>
      </c>
      <c r="G254" s="99">
        <v>69631</v>
      </c>
      <c r="H254" s="99">
        <v>70138</v>
      </c>
      <c r="I254" s="99">
        <v>63599</v>
      </c>
      <c r="J254" s="99">
        <v>63823</v>
      </c>
      <c r="K254" s="99">
        <v>52484</v>
      </c>
      <c r="L254" s="99">
        <v>52799</v>
      </c>
      <c r="M254" s="99">
        <v>44322</v>
      </c>
      <c r="N254" s="99">
        <v>44755</v>
      </c>
      <c r="O254" s="99">
        <v>45575</v>
      </c>
      <c r="P254" s="99">
        <v>46191.339499000002</v>
      </c>
      <c r="Q254" s="99">
        <v>38809.803021</v>
      </c>
      <c r="R254" s="99">
        <v>39246</v>
      </c>
      <c r="S254" s="99">
        <v>31858</v>
      </c>
      <c r="T254" s="99">
        <v>0</v>
      </c>
      <c r="V254" s="184" t="s">
        <v>114</v>
      </c>
      <c r="W254" s="99">
        <v>0</v>
      </c>
      <c r="X254" s="99">
        <v>0</v>
      </c>
      <c r="Y254" s="99">
        <v>0</v>
      </c>
      <c r="Z254" s="99" t="s">
        <v>1155</v>
      </c>
      <c r="AA254" s="99">
        <v>0</v>
      </c>
      <c r="AB254" s="542">
        <v>0</v>
      </c>
    </row>
    <row r="255" spans="2:28" ht="15.6">
      <c r="B255" s="184" t="s">
        <v>115</v>
      </c>
      <c r="C255" s="99">
        <v>0</v>
      </c>
      <c r="D255" s="99">
        <v>0</v>
      </c>
      <c r="E255" s="99">
        <v>0</v>
      </c>
      <c r="F255" s="99">
        <v>0</v>
      </c>
      <c r="G255" s="99">
        <v>0</v>
      </c>
      <c r="H255" s="99">
        <v>0</v>
      </c>
      <c r="I255" s="99">
        <v>0</v>
      </c>
      <c r="J255" s="99">
        <v>24</v>
      </c>
      <c r="K255" s="99">
        <v>20</v>
      </c>
      <c r="L255" s="99">
        <v>63</v>
      </c>
      <c r="M255" s="99">
        <v>49</v>
      </c>
      <c r="N255" s="99">
        <v>39</v>
      </c>
      <c r="O255" s="99">
        <v>42</v>
      </c>
      <c r="P255" s="99">
        <v>29.737808000000001</v>
      </c>
      <c r="Q255" s="99">
        <v>17.819880999999999</v>
      </c>
      <c r="R255" s="99">
        <v>8</v>
      </c>
      <c r="S255" s="99">
        <v>3</v>
      </c>
      <c r="T255" s="99">
        <v>0</v>
      </c>
      <c r="V255" s="184" t="s">
        <v>115</v>
      </c>
      <c r="W255" s="99">
        <v>0</v>
      </c>
      <c r="X255" s="99">
        <v>0</v>
      </c>
      <c r="Y255" s="99">
        <v>0</v>
      </c>
      <c r="Z255" s="99" t="s">
        <v>1155</v>
      </c>
      <c r="AA255" s="99">
        <v>0</v>
      </c>
      <c r="AB255" s="542">
        <v>0</v>
      </c>
    </row>
    <row r="256" spans="2:28" ht="15.6">
      <c r="B256" s="184" t="s">
        <v>123</v>
      </c>
      <c r="C256" s="99">
        <v>0</v>
      </c>
      <c r="D256" s="99">
        <v>0</v>
      </c>
      <c r="E256" s="99">
        <v>0</v>
      </c>
      <c r="F256" s="99">
        <v>0</v>
      </c>
      <c r="G256" s="99">
        <v>0</v>
      </c>
      <c r="H256" s="99">
        <v>0</v>
      </c>
      <c r="I256" s="99">
        <v>0</v>
      </c>
      <c r="J256" s="99">
        <v>0</v>
      </c>
      <c r="K256" s="99">
        <v>0</v>
      </c>
      <c r="L256" s="99">
        <v>0</v>
      </c>
      <c r="M256" s="99">
        <v>0</v>
      </c>
      <c r="N256" s="99">
        <v>0</v>
      </c>
      <c r="O256" s="99">
        <v>0</v>
      </c>
      <c r="P256" s="99">
        <v>0</v>
      </c>
      <c r="Q256" s="99">
        <v>0</v>
      </c>
      <c r="R256" s="99">
        <v>0</v>
      </c>
      <c r="S256" s="99">
        <v>0</v>
      </c>
      <c r="T256" s="99">
        <v>0</v>
      </c>
      <c r="V256" s="184" t="s">
        <v>123</v>
      </c>
      <c r="W256" s="99">
        <v>0</v>
      </c>
      <c r="X256" s="99">
        <v>0</v>
      </c>
      <c r="Y256" s="99">
        <v>0</v>
      </c>
      <c r="Z256" s="99" t="s">
        <v>1155</v>
      </c>
      <c r="AA256" s="99">
        <v>0</v>
      </c>
      <c r="AB256" s="542">
        <v>0</v>
      </c>
    </row>
    <row r="257" spans="2:28" ht="15.6">
      <c r="B257" s="184" t="s">
        <v>117</v>
      </c>
      <c r="C257" s="99">
        <v>0</v>
      </c>
      <c r="D257" s="99">
        <v>0</v>
      </c>
      <c r="E257" s="99">
        <v>0</v>
      </c>
      <c r="F257" s="99">
        <v>0</v>
      </c>
      <c r="G257" s="99">
        <v>0</v>
      </c>
      <c r="H257" s="99">
        <v>0</v>
      </c>
      <c r="I257" s="99">
        <v>0</v>
      </c>
      <c r="J257" s="99">
        <v>0</v>
      </c>
      <c r="K257" s="99">
        <v>0</v>
      </c>
      <c r="L257" s="99">
        <v>0</v>
      </c>
      <c r="M257" s="99">
        <v>0</v>
      </c>
      <c r="N257" s="99">
        <v>0</v>
      </c>
      <c r="O257" s="99">
        <v>0</v>
      </c>
      <c r="P257" s="99">
        <v>0</v>
      </c>
      <c r="Q257" s="99">
        <v>0</v>
      </c>
      <c r="R257" s="99">
        <v>0</v>
      </c>
      <c r="S257" s="99">
        <v>0</v>
      </c>
      <c r="T257" s="99">
        <v>0</v>
      </c>
      <c r="V257" s="184" t="s">
        <v>117</v>
      </c>
      <c r="W257" s="99">
        <v>0</v>
      </c>
      <c r="X257" s="99">
        <v>0</v>
      </c>
      <c r="Y257" s="99">
        <v>0</v>
      </c>
      <c r="Z257" s="99" t="s">
        <v>1155</v>
      </c>
      <c r="AA257" s="99">
        <v>0</v>
      </c>
      <c r="AB257" s="542">
        <v>0</v>
      </c>
    </row>
    <row r="258" spans="2:28" ht="15.6">
      <c r="B258" s="184" t="s">
        <v>118</v>
      </c>
      <c r="C258" s="99">
        <v>0</v>
      </c>
      <c r="D258" s="99">
        <v>0</v>
      </c>
      <c r="E258" s="99">
        <v>0</v>
      </c>
      <c r="F258" s="99">
        <v>0</v>
      </c>
      <c r="G258" s="99">
        <v>0</v>
      </c>
      <c r="H258" s="99">
        <v>0</v>
      </c>
      <c r="I258" s="99">
        <v>0</v>
      </c>
      <c r="J258" s="99">
        <v>0</v>
      </c>
      <c r="K258" s="99">
        <v>0</v>
      </c>
      <c r="L258" s="99">
        <v>0</v>
      </c>
      <c r="M258" s="99">
        <v>0</v>
      </c>
      <c r="N258" s="99">
        <v>0</v>
      </c>
      <c r="O258" s="99">
        <v>0</v>
      </c>
      <c r="P258" s="99">
        <v>0</v>
      </c>
      <c r="Q258" s="99">
        <v>0</v>
      </c>
      <c r="R258" s="99">
        <v>0</v>
      </c>
      <c r="S258" s="99">
        <v>0</v>
      </c>
      <c r="T258" s="99">
        <v>0</v>
      </c>
      <c r="V258" s="184" t="s">
        <v>118</v>
      </c>
      <c r="W258" s="99">
        <v>0</v>
      </c>
      <c r="X258" s="99">
        <v>0</v>
      </c>
      <c r="Y258" s="99">
        <v>0</v>
      </c>
      <c r="Z258" s="99" t="s">
        <v>1155</v>
      </c>
      <c r="AA258" s="99">
        <v>0</v>
      </c>
      <c r="AB258" s="542">
        <v>0</v>
      </c>
    </row>
    <row r="259" spans="2:28" ht="15.6">
      <c r="B259" s="184" t="s">
        <v>119</v>
      </c>
      <c r="C259" s="99">
        <v>0</v>
      </c>
      <c r="D259" s="99">
        <v>0</v>
      </c>
      <c r="E259" s="99">
        <v>0</v>
      </c>
      <c r="F259" s="99">
        <v>0</v>
      </c>
      <c r="G259" s="99">
        <v>0</v>
      </c>
      <c r="H259" s="99">
        <v>0</v>
      </c>
      <c r="I259" s="99">
        <v>0</v>
      </c>
      <c r="J259" s="99">
        <v>0</v>
      </c>
      <c r="K259" s="99">
        <v>0</v>
      </c>
      <c r="L259" s="99">
        <v>0</v>
      </c>
      <c r="M259" s="99">
        <v>0</v>
      </c>
      <c r="N259" s="99">
        <v>0</v>
      </c>
      <c r="O259" s="99">
        <v>0</v>
      </c>
      <c r="P259" s="99">
        <v>0</v>
      </c>
      <c r="Q259" s="99">
        <v>0</v>
      </c>
      <c r="R259" s="99">
        <v>0</v>
      </c>
      <c r="S259" s="99">
        <v>0</v>
      </c>
      <c r="T259" s="99">
        <v>0</v>
      </c>
      <c r="V259" s="184" t="s">
        <v>119</v>
      </c>
      <c r="W259" s="99">
        <v>0</v>
      </c>
      <c r="X259" s="99">
        <v>0</v>
      </c>
      <c r="Y259" s="99">
        <v>0</v>
      </c>
      <c r="Z259" s="99" t="s">
        <v>1155</v>
      </c>
      <c r="AA259" s="99">
        <v>0</v>
      </c>
      <c r="AB259" s="542">
        <v>0</v>
      </c>
    </row>
    <row r="260" spans="2:28" ht="15.6">
      <c r="B260" s="184" t="s">
        <v>153</v>
      </c>
      <c r="C260" s="99">
        <v>0</v>
      </c>
      <c r="D260" s="99">
        <v>149</v>
      </c>
      <c r="E260" s="99">
        <v>0</v>
      </c>
      <c r="F260" s="99">
        <v>0</v>
      </c>
      <c r="G260" s="99">
        <v>0</v>
      </c>
      <c r="H260" s="99">
        <v>0</v>
      </c>
      <c r="I260" s="99">
        <v>0</v>
      </c>
      <c r="J260" s="99">
        <v>0</v>
      </c>
      <c r="K260" s="99">
        <v>0</v>
      </c>
      <c r="L260" s="99">
        <v>0</v>
      </c>
      <c r="M260" s="99">
        <v>0</v>
      </c>
      <c r="N260" s="99">
        <v>0</v>
      </c>
      <c r="O260" s="99">
        <v>0</v>
      </c>
      <c r="P260" s="99">
        <v>0</v>
      </c>
      <c r="Q260" s="99">
        <v>0</v>
      </c>
      <c r="R260" s="99">
        <v>0</v>
      </c>
      <c r="S260" s="99">
        <v>0</v>
      </c>
      <c r="T260" s="99">
        <v>0</v>
      </c>
      <c r="V260" s="184" t="s">
        <v>153</v>
      </c>
      <c r="W260" s="99">
        <v>0</v>
      </c>
      <c r="X260" s="99">
        <v>0</v>
      </c>
      <c r="Y260" s="99">
        <v>0</v>
      </c>
      <c r="Z260" s="99" t="s">
        <v>1155</v>
      </c>
      <c r="AA260" s="99">
        <v>0</v>
      </c>
      <c r="AB260" s="542">
        <v>0</v>
      </c>
    </row>
    <row r="261" spans="2:28" ht="15">
      <c r="B261" s="167" t="s">
        <v>124</v>
      </c>
      <c r="C261" s="172">
        <v>95874</v>
      </c>
      <c r="D261" s="172">
        <v>82557</v>
      </c>
      <c r="E261" s="172">
        <v>76134</v>
      </c>
      <c r="F261" s="172">
        <v>76709</v>
      </c>
      <c r="G261" s="172">
        <v>69631</v>
      </c>
      <c r="H261" s="172">
        <v>70138</v>
      </c>
      <c r="I261" s="172">
        <v>63599</v>
      </c>
      <c r="J261" s="172">
        <v>63847</v>
      </c>
      <c r="K261" s="172">
        <v>52504</v>
      </c>
      <c r="L261" s="172">
        <v>52862</v>
      </c>
      <c r="M261" s="172">
        <v>44371</v>
      </c>
      <c r="N261" s="172">
        <v>44794</v>
      </c>
      <c r="O261" s="172">
        <v>45617</v>
      </c>
      <c r="P261" s="172">
        <f>SUM(P254:P260)</f>
        <v>46221.077307</v>
      </c>
      <c r="Q261" s="172">
        <f>SUM(Q254:Q260)</f>
        <v>38827.622902000003</v>
      </c>
      <c r="R261" s="172">
        <v>39254</v>
      </c>
      <c r="S261" s="172">
        <v>31861</v>
      </c>
      <c r="T261" s="172">
        <v>0</v>
      </c>
      <c r="V261" s="167" t="s">
        <v>124</v>
      </c>
      <c r="W261" s="543">
        <v>0</v>
      </c>
      <c r="X261" s="543">
        <v>0</v>
      </c>
      <c r="Y261" s="543">
        <v>0</v>
      </c>
      <c r="Z261" s="543" t="s">
        <v>1155</v>
      </c>
      <c r="AA261" s="543">
        <v>0</v>
      </c>
      <c r="AB261" s="543">
        <v>0</v>
      </c>
    </row>
    <row r="262" spans="2:28" ht="15">
      <c r="B262" s="121" t="s">
        <v>125</v>
      </c>
      <c r="C262" s="171">
        <v>125039</v>
      </c>
      <c r="D262" s="171">
        <v>110518</v>
      </c>
      <c r="E262" s="171">
        <v>101229</v>
      </c>
      <c r="F262" s="171">
        <v>104200</v>
      </c>
      <c r="G262" s="171">
        <v>89488</v>
      </c>
      <c r="H262" s="171">
        <v>92176</v>
      </c>
      <c r="I262" s="171">
        <v>83419</v>
      </c>
      <c r="J262" s="171">
        <v>85634</v>
      </c>
      <c r="K262" s="171">
        <v>75946</v>
      </c>
      <c r="L262" s="171">
        <v>78276</v>
      </c>
      <c r="M262" s="171">
        <v>70378</v>
      </c>
      <c r="N262" s="171">
        <v>70971</v>
      </c>
      <c r="O262" s="171">
        <v>57673</v>
      </c>
      <c r="P262" s="171">
        <f>+P252+P261</f>
        <v>65023.087216</v>
      </c>
      <c r="Q262" s="171">
        <f>+Q252+Q261</f>
        <v>60279.542996700009</v>
      </c>
      <c r="R262" s="171">
        <v>57858</v>
      </c>
      <c r="S262" s="171">
        <v>58588</v>
      </c>
      <c r="T262" s="171">
        <v>56126.42034199999</v>
      </c>
      <c r="V262" s="121" t="s">
        <v>125</v>
      </c>
      <c r="W262" s="541">
        <v>10083.547927</v>
      </c>
      <c r="X262" s="541">
        <v>6666.7522999999992</v>
      </c>
      <c r="Y262" s="541">
        <v>5474.9385279999997</v>
      </c>
      <c r="Z262" s="541">
        <v>7879</v>
      </c>
      <c r="AA262" s="541">
        <v>3282.5685710000002</v>
      </c>
      <c r="AB262" s="541">
        <v>780.832944</v>
      </c>
    </row>
    <row r="263" spans="2:28" ht="15">
      <c r="B263" s="123"/>
      <c r="C263" s="173"/>
      <c r="D263" s="173"/>
      <c r="E263" s="173"/>
      <c r="F263" s="173"/>
      <c r="G263" s="173"/>
      <c r="H263" s="173"/>
      <c r="I263" s="173"/>
      <c r="J263" s="173"/>
      <c r="K263" s="173"/>
      <c r="L263" s="173"/>
      <c r="M263" s="173"/>
      <c r="N263" s="173"/>
      <c r="O263" s="173"/>
      <c r="P263" s="173"/>
      <c r="Q263" s="173"/>
      <c r="R263" s="173"/>
      <c r="S263" s="173">
        <v>0</v>
      </c>
      <c r="T263" s="173"/>
      <c r="V263" s="123"/>
      <c r="W263" s="545"/>
      <c r="X263" s="545">
        <v>0</v>
      </c>
      <c r="Y263" s="545"/>
      <c r="Z263" s="545"/>
      <c r="AA263" s="545"/>
      <c r="AB263" s="545"/>
    </row>
    <row r="264" spans="2:28" ht="15">
      <c r="B264" s="177" t="s">
        <v>126</v>
      </c>
      <c r="C264" s="178"/>
      <c r="D264" s="178"/>
      <c r="E264" s="178"/>
      <c r="F264" s="178"/>
      <c r="G264" s="178"/>
      <c r="H264" s="178"/>
      <c r="I264" s="178"/>
      <c r="J264" s="178"/>
      <c r="K264" s="178"/>
      <c r="L264" s="178"/>
      <c r="M264" s="178"/>
      <c r="N264" s="178"/>
      <c r="O264" s="178"/>
      <c r="P264" s="178"/>
      <c r="Q264" s="178"/>
      <c r="R264" s="178"/>
      <c r="S264" s="178"/>
      <c r="T264" s="178"/>
      <c r="V264" s="177" t="s">
        <v>126</v>
      </c>
      <c r="W264" s="544"/>
      <c r="X264" s="544"/>
      <c r="Y264" s="544"/>
      <c r="Z264" s="544"/>
      <c r="AA264" s="544"/>
      <c r="AB264" s="544"/>
    </row>
    <row r="265" spans="2:28" ht="15.6">
      <c r="B265" s="184" t="s">
        <v>127</v>
      </c>
      <c r="C265" s="99">
        <v>30199</v>
      </c>
      <c r="D265" s="99">
        <v>30199</v>
      </c>
      <c r="E265" s="99">
        <v>30199</v>
      </c>
      <c r="F265" s="99">
        <v>30199</v>
      </c>
      <c r="G265" s="99">
        <v>30199</v>
      </c>
      <c r="H265" s="99">
        <v>30199</v>
      </c>
      <c r="I265" s="99">
        <v>30199</v>
      </c>
      <c r="J265" s="99">
        <v>30199</v>
      </c>
      <c r="K265" s="99">
        <v>30199</v>
      </c>
      <c r="L265" s="99">
        <v>30199</v>
      </c>
      <c r="M265" s="99">
        <v>30199</v>
      </c>
      <c r="N265" s="99">
        <v>30199</v>
      </c>
      <c r="O265" s="99">
        <v>30199</v>
      </c>
      <c r="P265" s="99">
        <v>30199.025601000001</v>
      </c>
      <c r="Q265" s="99">
        <v>30199.025601000001</v>
      </c>
      <c r="R265" s="99">
        <v>30199.025601000001</v>
      </c>
      <c r="S265" s="99">
        <v>30199.025601000001</v>
      </c>
      <c r="T265" s="99">
        <v>30199.025601000001</v>
      </c>
      <c r="V265" s="184" t="s">
        <v>127</v>
      </c>
      <c r="W265" s="99">
        <v>30199.025601000001</v>
      </c>
      <c r="X265" s="99">
        <v>30199.025601000001</v>
      </c>
      <c r="Y265" s="99">
        <v>30199.025601000001</v>
      </c>
      <c r="Z265" s="99">
        <v>30199</v>
      </c>
      <c r="AA265" s="99">
        <v>30199.025601000001</v>
      </c>
      <c r="AB265" s="542">
        <v>19412.114601000001</v>
      </c>
    </row>
    <row r="266" spans="2:28" ht="15.6">
      <c r="B266" s="184" t="s">
        <v>128</v>
      </c>
      <c r="C266" s="99">
        <v>0</v>
      </c>
      <c r="D266" s="99">
        <v>0</v>
      </c>
      <c r="E266" s="99">
        <v>0</v>
      </c>
      <c r="F266" s="99">
        <v>0</v>
      </c>
      <c r="G266" s="99">
        <v>0</v>
      </c>
      <c r="H266" s="99">
        <v>0</v>
      </c>
      <c r="I266" s="99">
        <v>0</v>
      </c>
      <c r="J266" s="99">
        <v>0</v>
      </c>
      <c r="K266" s="99">
        <v>0</v>
      </c>
      <c r="L266" s="99">
        <v>0</v>
      </c>
      <c r="M266" s="99">
        <v>0</v>
      </c>
      <c r="N266" s="99">
        <v>0</v>
      </c>
      <c r="O266" s="99">
        <v>0</v>
      </c>
      <c r="P266" s="99">
        <v>0</v>
      </c>
      <c r="Q266" s="99">
        <v>0</v>
      </c>
      <c r="R266" s="99">
        <v>0</v>
      </c>
      <c r="S266" s="99">
        <v>0</v>
      </c>
      <c r="T266" s="99">
        <v>0</v>
      </c>
      <c r="V266" s="184" t="s">
        <v>128</v>
      </c>
      <c r="W266" s="99">
        <v>0</v>
      </c>
      <c r="X266" s="99">
        <v>0</v>
      </c>
      <c r="Y266" s="99">
        <v>0</v>
      </c>
      <c r="Z266" s="99" t="s">
        <v>1155</v>
      </c>
      <c r="AA266" s="99">
        <v>0</v>
      </c>
      <c r="AB266" s="542">
        <v>0</v>
      </c>
    </row>
    <row r="267" spans="2:28" ht="15.6">
      <c r="B267" s="184" t="s">
        <v>129</v>
      </c>
      <c r="C267" s="99">
        <v>0</v>
      </c>
      <c r="D267" s="99">
        <v>0</v>
      </c>
      <c r="E267" s="99">
        <v>0</v>
      </c>
      <c r="F267" s="99">
        <v>0</v>
      </c>
      <c r="G267" s="99">
        <v>0</v>
      </c>
      <c r="H267" s="99">
        <v>0</v>
      </c>
      <c r="I267" s="99">
        <v>0</v>
      </c>
      <c r="J267" s="99">
        <v>0</v>
      </c>
      <c r="K267" s="99">
        <v>0</v>
      </c>
      <c r="L267" s="99">
        <v>0</v>
      </c>
      <c r="M267" s="99">
        <v>0</v>
      </c>
      <c r="N267" s="99">
        <v>0</v>
      </c>
      <c r="O267" s="99">
        <v>0</v>
      </c>
      <c r="P267" s="99">
        <v>0</v>
      </c>
      <c r="Q267" s="99">
        <v>0</v>
      </c>
      <c r="R267" s="99">
        <v>0</v>
      </c>
      <c r="S267" s="99">
        <v>0</v>
      </c>
      <c r="T267" s="99">
        <v>0</v>
      </c>
      <c r="V267" s="184" t="s">
        <v>129</v>
      </c>
      <c r="W267" s="99">
        <v>0</v>
      </c>
      <c r="X267" s="99">
        <v>0</v>
      </c>
      <c r="Y267" s="99">
        <v>0</v>
      </c>
      <c r="Z267" s="99" t="s">
        <v>1155</v>
      </c>
      <c r="AA267" s="99">
        <v>0</v>
      </c>
      <c r="AB267" s="542">
        <v>0</v>
      </c>
    </row>
    <row r="268" spans="2:28" ht="15.6">
      <c r="B268" s="184" t="s">
        <v>130</v>
      </c>
      <c r="C268" s="99">
        <v>545</v>
      </c>
      <c r="D268" s="99">
        <v>-5224</v>
      </c>
      <c r="E268" s="99">
        <v>-5657</v>
      </c>
      <c r="F268" s="99">
        <v>-5657</v>
      </c>
      <c r="G268" s="99">
        <v>-5657</v>
      </c>
      <c r="H268" s="99">
        <v>-5657</v>
      </c>
      <c r="I268" s="99">
        <v>-4756</v>
      </c>
      <c r="J268" s="99">
        <v>-4756</v>
      </c>
      <c r="K268" s="99">
        <v>-4756</v>
      </c>
      <c r="L268" s="99">
        <v>-4756</v>
      </c>
      <c r="M268" s="99">
        <v>-3834</v>
      </c>
      <c r="N268" s="99">
        <v>-3834</v>
      </c>
      <c r="O268" s="99">
        <v>-3834</v>
      </c>
      <c r="P268" s="99">
        <v>-3834.435778</v>
      </c>
      <c r="Q268" s="99">
        <v>-16107.45349</v>
      </c>
      <c r="R268" s="99">
        <v>-16107.45349</v>
      </c>
      <c r="S268" s="99">
        <v>-15333</v>
      </c>
      <c r="T268" s="99">
        <v>-15332.966490000001</v>
      </c>
      <c r="V268" s="184" t="s">
        <v>130</v>
      </c>
      <c r="W268" s="99">
        <v>-6450.4312470000004</v>
      </c>
      <c r="X268" s="99">
        <v>-6450.4312470000004</v>
      </c>
      <c r="Y268" s="99">
        <v>-6450.4312470000004</v>
      </c>
      <c r="Z268" s="99">
        <v>-11246</v>
      </c>
      <c r="AA268" s="99">
        <v>-11245.944943</v>
      </c>
      <c r="AB268" s="542">
        <v>-11245.944943</v>
      </c>
    </row>
    <row r="269" spans="2:28" ht="15.6">
      <c r="B269" s="184" t="s">
        <v>131</v>
      </c>
      <c r="C269" s="99">
        <v>-5768</v>
      </c>
      <c r="D269" s="99">
        <v>-433</v>
      </c>
      <c r="E269" s="99">
        <v>69</v>
      </c>
      <c r="F269" s="99">
        <v>94</v>
      </c>
      <c r="G269" s="99">
        <v>-48</v>
      </c>
      <c r="H269" s="99">
        <v>900</v>
      </c>
      <c r="I269" s="99">
        <v>-44</v>
      </c>
      <c r="J269" s="99">
        <v>278</v>
      </c>
      <c r="K269" s="99">
        <v>831</v>
      </c>
      <c r="L269" s="99">
        <v>922</v>
      </c>
      <c r="M269" s="99">
        <v>-644</v>
      </c>
      <c r="N269" s="99">
        <v>-1439</v>
      </c>
      <c r="O269" s="99">
        <v>-2083</v>
      </c>
      <c r="P269" s="99">
        <v>-12273.017712000001</v>
      </c>
      <c r="Q269" s="99">
        <v>108.646835</v>
      </c>
      <c r="R269" s="99">
        <v>-167</v>
      </c>
      <c r="S269" s="99">
        <v>6542</v>
      </c>
      <c r="T269" s="99">
        <v>8882.5352430000003</v>
      </c>
      <c r="V269" s="184" t="s">
        <v>131</v>
      </c>
      <c r="W269" s="99">
        <v>128.16580300000001</v>
      </c>
      <c r="X269" s="99">
        <v>3053.7711129999998</v>
      </c>
      <c r="Y269" s="99">
        <v>-4101.3846700000004</v>
      </c>
      <c r="Z269" s="99" t="s">
        <v>1155</v>
      </c>
      <c r="AA269" s="99">
        <v>-3185.9231129999998</v>
      </c>
      <c r="AB269" s="542">
        <v>-3223.411728</v>
      </c>
    </row>
    <row r="270" spans="2:28" ht="15.6">
      <c r="B270" s="184" t="s">
        <v>132</v>
      </c>
      <c r="C270" s="99">
        <v>0</v>
      </c>
      <c r="D270" s="99">
        <v>0</v>
      </c>
      <c r="E270" s="99">
        <v>0</v>
      </c>
      <c r="F270" s="99">
        <v>0</v>
      </c>
      <c r="G270" s="99">
        <v>0</v>
      </c>
      <c r="H270" s="99">
        <v>0</v>
      </c>
      <c r="I270" s="99">
        <v>0</v>
      </c>
      <c r="J270" s="99">
        <v>0</v>
      </c>
      <c r="K270" s="99">
        <v>0</v>
      </c>
      <c r="L270" s="99">
        <v>0</v>
      </c>
      <c r="M270" s="99">
        <v>0</v>
      </c>
      <c r="N270" s="99">
        <v>0</v>
      </c>
      <c r="O270" s="99">
        <v>0</v>
      </c>
      <c r="P270" s="99">
        <v>0</v>
      </c>
      <c r="Q270" s="99">
        <v>0</v>
      </c>
      <c r="R270" s="99">
        <v>0</v>
      </c>
      <c r="S270" s="99">
        <v>0</v>
      </c>
      <c r="T270" s="99">
        <v>0</v>
      </c>
      <c r="V270" s="184" t="s">
        <v>132</v>
      </c>
      <c r="W270" s="99">
        <v>0</v>
      </c>
      <c r="X270" s="99">
        <v>0</v>
      </c>
      <c r="Y270" s="99">
        <v>0</v>
      </c>
      <c r="Z270" s="99" t="s">
        <v>1155</v>
      </c>
      <c r="AA270" s="99">
        <v>0</v>
      </c>
      <c r="AB270" s="542">
        <v>0</v>
      </c>
    </row>
    <row r="271" spans="2:28" ht="15">
      <c r="B271" s="167" t="s">
        <v>135</v>
      </c>
      <c r="C271" s="172">
        <v>24976</v>
      </c>
      <c r="D271" s="172">
        <v>24542</v>
      </c>
      <c r="E271" s="172">
        <v>24611</v>
      </c>
      <c r="F271" s="172">
        <v>24636</v>
      </c>
      <c r="G271" s="172">
        <v>24494</v>
      </c>
      <c r="H271" s="172">
        <v>25442</v>
      </c>
      <c r="I271" s="172">
        <v>25399</v>
      </c>
      <c r="J271" s="172">
        <v>25721</v>
      </c>
      <c r="K271" s="172">
        <v>26274</v>
      </c>
      <c r="L271" s="172">
        <v>26365</v>
      </c>
      <c r="M271" s="172">
        <v>25721</v>
      </c>
      <c r="N271" s="172">
        <v>24926</v>
      </c>
      <c r="O271" s="172">
        <v>24282</v>
      </c>
      <c r="P271" s="172">
        <f>SUM(P265:P270)</f>
        <v>14091.572111000001</v>
      </c>
      <c r="Q271" s="172">
        <f>SUM(Q265:Q270)</f>
        <v>14200.218946000001</v>
      </c>
      <c r="R271" s="172">
        <v>13924.572111000001</v>
      </c>
      <c r="S271" s="172">
        <v>21408.025601000001</v>
      </c>
      <c r="T271" s="172">
        <v>23748.594354000001</v>
      </c>
      <c r="V271" s="167" t="s">
        <v>135</v>
      </c>
      <c r="W271" s="543">
        <v>23876.760157000001</v>
      </c>
      <c r="X271" s="543">
        <v>26802.365467</v>
      </c>
      <c r="Y271" s="543">
        <v>19647.209684000001</v>
      </c>
      <c r="Z271" s="543">
        <v>18953</v>
      </c>
      <c r="AA271" s="543">
        <v>15767.157544999998</v>
      </c>
      <c r="AB271" s="543">
        <v>4942.7579300000007</v>
      </c>
    </row>
    <row r="272" spans="2:28" ht="15">
      <c r="B272" s="121" t="s">
        <v>136</v>
      </c>
      <c r="C272" s="171">
        <v>150015</v>
      </c>
      <c r="D272" s="171">
        <v>135060</v>
      </c>
      <c r="E272" s="171">
        <v>125840</v>
      </c>
      <c r="F272" s="171">
        <v>128836</v>
      </c>
      <c r="G272" s="171">
        <v>113982</v>
      </c>
      <c r="H272" s="171">
        <v>117618</v>
      </c>
      <c r="I272" s="171">
        <v>108818</v>
      </c>
      <c r="J272" s="171">
        <v>111355</v>
      </c>
      <c r="K272" s="171">
        <v>102220</v>
      </c>
      <c r="L272" s="171">
        <v>104641</v>
      </c>
      <c r="M272" s="171">
        <v>96099</v>
      </c>
      <c r="N272" s="171">
        <v>95897</v>
      </c>
      <c r="O272" s="171">
        <v>81955</v>
      </c>
      <c r="P272" s="171">
        <f>+P262+P271</f>
        <v>79114.659327000001</v>
      </c>
      <c r="Q272" s="171">
        <f>+Q262+Q271</f>
        <v>74479.761942700017</v>
      </c>
      <c r="R272" s="171">
        <v>71782.572111000001</v>
      </c>
      <c r="S272" s="171">
        <v>79996.025601000001</v>
      </c>
      <c r="T272" s="171">
        <v>79875.014695999998</v>
      </c>
      <c r="V272" s="121" t="s">
        <v>136</v>
      </c>
      <c r="W272" s="541">
        <v>33960.308084000004</v>
      </c>
      <c r="X272" s="541">
        <v>33469.117766999996</v>
      </c>
      <c r="Y272" s="541">
        <v>25122.148212</v>
      </c>
      <c r="Z272" s="541">
        <v>26832</v>
      </c>
      <c r="AA272" s="541">
        <v>19049.726115999998</v>
      </c>
      <c r="AB272" s="541">
        <v>5723.5908740000004</v>
      </c>
    </row>
    <row r="273" spans="2:28" ht="15.6">
      <c r="B273" s="132"/>
      <c r="C273" s="132"/>
      <c r="D273" s="132"/>
      <c r="E273" s="132"/>
      <c r="F273" s="132"/>
      <c r="G273" s="132"/>
      <c r="H273" s="132"/>
      <c r="I273" s="132"/>
      <c r="J273" s="132"/>
      <c r="K273" s="132"/>
      <c r="L273" s="132"/>
      <c r="M273" s="132"/>
      <c r="N273" s="132"/>
      <c r="O273" s="132"/>
      <c r="Z273" s="535"/>
      <c r="AA273" s="535"/>
      <c r="AB273" s="535"/>
    </row>
    <row r="274" spans="2:28" ht="15.6">
      <c r="B274" s="132"/>
      <c r="C274" s="132"/>
      <c r="D274" s="132"/>
      <c r="E274" s="132"/>
      <c r="F274" s="132"/>
      <c r="G274" s="132"/>
      <c r="H274" s="132"/>
      <c r="I274" s="132"/>
      <c r="J274" s="132"/>
      <c r="K274" s="132"/>
      <c r="L274" s="132"/>
      <c r="M274" s="132"/>
      <c r="N274" s="132"/>
      <c r="O274" s="132"/>
      <c r="Z274" s="535"/>
      <c r="AA274" s="535"/>
      <c r="AB274" s="535"/>
    </row>
    <row r="275" spans="2:28" ht="15.6">
      <c r="B275" s="132"/>
      <c r="C275" s="132"/>
      <c r="D275" s="132"/>
      <c r="E275" s="132"/>
      <c r="F275" s="132"/>
      <c r="G275" s="132"/>
      <c r="H275" s="132"/>
      <c r="I275" s="132"/>
      <c r="J275" s="132"/>
      <c r="K275" s="132"/>
      <c r="L275" s="132"/>
      <c r="M275" s="132"/>
      <c r="N275" s="132"/>
      <c r="O275" s="132"/>
      <c r="Z275" s="535"/>
      <c r="AA275" s="535"/>
      <c r="AB275" s="535"/>
    </row>
    <row r="276" spans="2:28" ht="15.6">
      <c r="B276" s="54" t="s">
        <v>485</v>
      </c>
      <c r="C276" s="29"/>
      <c r="D276" s="29"/>
      <c r="E276" s="30"/>
      <c r="F276" s="29"/>
      <c r="G276" s="29"/>
      <c r="H276" s="29"/>
      <c r="I276" s="30"/>
      <c r="J276" s="29"/>
      <c r="K276" s="29"/>
      <c r="L276" s="29"/>
      <c r="M276" s="30"/>
      <c r="N276" s="29"/>
      <c r="O276" s="29"/>
      <c r="Z276" s="535"/>
      <c r="AA276" s="535"/>
      <c r="AB276" s="535"/>
    </row>
    <row r="277" spans="2:28" ht="15.6">
      <c r="B277" s="252" t="s">
        <v>478</v>
      </c>
      <c r="C277" s="132"/>
      <c r="D277" s="132"/>
      <c r="E277" s="132"/>
      <c r="F277" s="132"/>
      <c r="G277" s="132"/>
      <c r="H277" s="132"/>
      <c r="I277" s="132"/>
      <c r="J277" s="132"/>
      <c r="K277" s="132"/>
      <c r="L277" s="132"/>
      <c r="M277" s="132"/>
      <c r="N277" s="132"/>
      <c r="O277" s="132"/>
      <c r="Z277" s="535"/>
      <c r="AA277" s="535"/>
      <c r="AB277" s="535"/>
    </row>
    <row r="278" spans="2:28" ht="7.5" customHeight="1">
      <c r="B278" s="31"/>
      <c r="C278" s="31"/>
      <c r="D278" s="31"/>
      <c r="E278" s="31"/>
      <c r="F278" s="31"/>
      <c r="G278" s="31"/>
      <c r="H278" s="31"/>
      <c r="I278" s="31"/>
      <c r="J278" s="31"/>
      <c r="K278" s="31"/>
      <c r="L278" s="31"/>
      <c r="M278" s="31"/>
      <c r="N278" s="31"/>
      <c r="O278" s="31"/>
      <c r="Z278" s="535"/>
      <c r="AA278" s="535"/>
      <c r="AB278" s="535"/>
    </row>
    <row r="279" spans="2:28" ht="15">
      <c r="B279" s="250"/>
      <c r="C279" s="251">
        <v>2016</v>
      </c>
      <c r="D279" s="251">
        <v>2017</v>
      </c>
      <c r="E279" s="251" t="s">
        <v>40</v>
      </c>
      <c r="F279" s="251" t="s">
        <v>41</v>
      </c>
      <c r="G279" s="251" t="s">
        <v>42</v>
      </c>
      <c r="H279" s="251" t="s">
        <v>43</v>
      </c>
      <c r="I279" s="251" t="s">
        <v>44</v>
      </c>
      <c r="J279" s="251" t="s">
        <v>45</v>
      </c>
      <c r="K279" s="251" t="s">
        <v>46</v>
      </c>
      <c r="L279" s="251" t="s">
        <v>47</v>
      </c>
      <c r="M279" s="251" t="s">
        <v>48</v>
      </c>
      <c r="N279" s="251" t="s">
        <v>49</v>
      </c>
      <c r="O279" s="251" t="s">
        <v>50</v>
      </c>
      <c r="P279" s="245" t="s">
        <v>51</v>
      </c>
      <c r="Q279" s="245" t="s">
        <v>52</v>
      </c>
      <c r="R279" s="245" t="s">
        <v>53</v>
      </c>
      <c r="S279" s="245" t="s">
        <v>54</v>
      </c>
      <c r="T279" s="245" t="s">
        <v>55</v>
      </c>
      <c r="V279" s="250"/>
      <c r="W279" s="536" t="s">
        <v>87</v>
      </c>
      <c r="X279" s="536" t="s">
        <v>56</v>
      </c>
      <c r="Y279" s="536" t="s">
        <v>57</v>
      </c>
      <c r="Z279" s="536" t="s">
        <v>1154</v>
      </c>
      <c r="AA279" s="536" t="str">
        <f>+AA6</f>
        <v>1T23</v>
      </c>
      <c r="AB279" s="536" t="s">
        <v>1207</v>
      </c>
    </row>
    <row r="280" spans="2:28" ht="2.5499999999999998" customHeight="1">
      <c r="B280" s="137"/>
      <c r="C280" s="31"/>
      <c r="D280" s="31"/>
      <c r="E280" s="31"/>
      <c r="F280" s="31"/>
      <c r="G280" s="31"/>
      <c r="H280" s="31"/>
      <c r="I280" s="31"/>
      <c r="J280" s="31"/>
      <c r="K280" s="31"/>
      <c r="L280" s="31"/>
      <c r="M280" s="31"/>
      <c r="N280" s="31"/>
      <c r="O280" s="31"/>
      <c r="S280">
        <v>386</v>
      </c>
      <c r="W280" s="535"/>
      <c r="X280" s="535">
        <v>0</v>
      </c>
      <c r="Z280" s="535"/>
      <c r="AA280" s="535"/>
      <c r="AB280" s="535"/>
    </row>
    <row r="281" spans="2:28" ht="15.6">
      <c r="B281" s="72" t="s">
        <v>58</v>
      </c>
      <c r="C281" s="107">
        <v>65</v>
      </c>
      <c r="D281" s="107">
        <v>120</v>
      </c>
      <c r="E281" s="107">
        <v>105</v>
      </c>
      <c r="F281" s="107">
        <v>12</v>
      </c>
      <c r="G281" s="107">
        <v>138</v>
      </c>
      <c r="H281" s="107">
        <v>168</v>
      </c>
      <c r="I281" s="107">
        <v>1393</v>
      </c>
      <c r="J281" s="107">
        <v>717</v>
      </c>
      <c r="K281" s="107">
        <v>756</v>
      </c>
      <c r="L281" s="107">
        <v>1676</v>
      </c>
      <c r="M281" s="107">
        <v>37</v>
      </c>
      <c r="N281" s="107">
        <v>224</v>
      </c>
      <c r="O281" s="107">
        <v>141</v>
      </c>
      <c r="P281" s="107">
        <v>1015.343393</v>
      </c>
      <c r="Q281" s="107">
        <v>-425.63460600000002</v>
      </c>
      <c r="R281" s="107">
        <v>398.63460600000002</v>
      </c>
      <c r="S281" s="107">
        <v>310</v>
      </c>
      <c r="T281" s="107">
        <v>1360.753031</v>
      </c>
      <c r="V281" s="72" t="s">
        <v>58</v>
      </c>
      <c r="W281" s="107">
        <v>4107.2434359999997</v>
      </c>
      <c r="X281" s="107">
        <v>7474.8156929999996</v>
      </c>
      <c r="Y281" s="107">
        <v>7235.0251440000011</v>
      </c>
      <c r="Z281" s="107">
        <v>13008</v>
      </c>
      <c r="AA281" s="107">
        <v>8335.9809719999994</v>
      </c>
      <c r="AB281" s="107">
        <v>7343.1948150000007</v>
      </c>
    </row>
    <row r="282" spans="2:28" ht="15.6">
      <c r="B282" s="72" t="s">
        <v>59</v>
      </c>
      <c r="C282" s="107">
        <v>58</v>
      </c>
      <c r="D282" s="107">
        <v>106</v>
      </c>
      <c r="E282" s="107">
        <v>93</v>
      </c>
      <c r="F282" s="107">
        <v>10</v>
      </c>
      <c r="G282" s="107">
        <v>123</v>
      </c>
      <c r="H282" s="107">
        <v>149</v>
      </c>
      <c r="I282" s="107">
        <v>1233</v>
      </c>
      <c r="J282" s="107">
        <v>635</v>
      </c>
      <c r="K282" s="107">
        <v>669</v>
      </c>
      <c r="L282" s="107">
        <v>1483</v>
      </c>
      <c r="M282" s="107">
        <v>32</v>
      </c>
      <c r="N282" s="107">
        <v>195</v>
      </c>
      <c r="O282" s="107">
        <v>122</v>
      </c>
      <c r="P282" s="107">
        <v>882.90729899999997</v>
      </c>
      <c r="Q282" s="107">
        <v>370.11704800000001</v>
      </c>
      <c r="R282" s="107">
        <v>-346.11704800000001</v>
      </c>
      <c r="S282" s="107">
        <v>222</v>
      </c>
      <c r="T282" s="107">
        <v>1230.828722</v>
      </c>
      <c r="V282" s="72" t="s">
        <v>59</v>
      </c>
      <c r="W282" s="107">
        <v>3571.5160310000001</v>
      </c>
      <c r="X282" s="107">
        <v>6499.8397329999998</v>
      </c>
      <c r="Y282" s="107">
        <v>269.79700199999934</v>
      </c>
      <c r="Z282" s="107">
        <v>17333</v>
      </c>
      <c r="AA282" s="107">
        <v>7248.6791050000002</v>
      </c>
      <c r="AB282" s="107">
        <v>6499.8397329999998</v>
      </c>
    </row>
    <row r="283" spans="2:28" ht="15.6">
      <c r="B283" s="131" t="s">
        <v>60</v>
      </c>
      <c r="C283" s="138">
        <v>7</v>
      </c>
      <c r="D283" s="138">
        <v>14</v>
      </c>
      <c r="E283" s="138">
        <v>12</v>
      </c>
      <c r="F283" s="138">
        <v>2</v>
      </c>
      <c r="G283" s="138">
        <v>15</v>
      </c>
      <c r="H283" s="138">
        <v>19</v>
      </c>
      <c r="I283" s="138">
        <v>160</v>
      </c>
      <c r="J283" s="138">
        <v>82</v>
      </c>
      <c r="K283" s="138">
        <v>87</v>
      </c>
      <c r="L283" s="138">
        <v>193</v>
      </c>
      <c r="M283" s="138">
        <v>5</v>
      </c>
      <c r="N283" s="138">
        <v>29</v>
      </c>
      <c r="O283" s="138">
        <v>19</v>
      </c>
      <c r="P283" s="138">
        <v>132.43609400000003</v>
      </c>
      <c r="Q283" s="138">
        <f>+Q281+Q282</f>
        <v>-55.517558000000008</v>
      </c>
      <c r="R283" s="138">
        <v>52.517558000000008</v>
      </c>
      <c r="S283" s="138">
        <v>88</v>
      </c>
      <c r="T283" s="138">
        <v>129.92430899999999</v>
      </c>
      <c r="V283" s="131" t="s">
        <v>61</v>
      </c>
      <c r="W283" s="138">
        <v>535.72740499999964</v>
      </c>
      <c r="X283" s="138">
        <v>974.97595999999976</v>
      </c>
      <c r="Y283" s="138">
        <v>6965.2281420000018</v>
      </c>
      <c r="Z283" s="138">
        <v>-4325</v>
      </c>
      <c r="AA283" s="138">
        <v>1087.3018669999992</v>
      </c>
      <c r="AB283" s="138">
        <v>843.35508200000095</v>
      </c>
    </row>
    <row r="284" spans="2:28" ht="7.5" customHeight="1">
      <c r="B284" s="72"/>
      <c r="C284" s="107"/>
      <c r="D284" s="107"/>
      <c r="E284" s="107"/>
      <c r="F284" s="107"/>
      <c r="G284" s="107"/>
      <c r="H284" s="107"/>
      <c r="I284" s="107"/>
      <c r="J284" s="107"/>
      <c r="K284" s="107"/>
      <c r="L284" s="107"/>
      <c r="M284" s="107"/>
      <c r="N284" s="107"/>
      <c r="O284" s="107"/>
      <c r="P284" s="107"/>
      <c r="Q284" s="107"/>
      <c r="R284" s="107"/>
      <c r="S284" s="107">
        <v>0</v>
      </c>
      <c r="T284" s="107"/>
      <c r="W284" s="107"/>
      <c r="X284" s="107">
        <v>0</v>
      </c>
      <c r="Y284" s="107"/>
      <c r="Z284" s="107"/>
      <c r="AA284" s="107"/>
      <c r="AB284" s="107"/>
    </row>
    <row r="285" spans="2:28" ht="15.6">
      <c r="B285" s="72" t="s">
        <v>468</v>
      </c>
      <c r="C285" s="107">
        <v>9556</v>
      </c>
      <c r="D285" s="107">
        <v>8502</v>
      </c>
      <c r="E285" s="107">
        <v>3058</v>
      </c>
      <c r="F285" s="107">
        <v>2083</v>
      </c>
      <c r="G285" s="107">
        <v>1675</v>
      </c>
      <c r="H285" s="107">
        <v>2351</v>
      </c>
      <c r="I285" s="107">
        <v>3526</v>
      </c>
      <c r="J285" s="107">
        <v>2027</v>
      </c>
      <c r="K285" s="107">
        <v>1726</v>
      </c>
      <c r="L285" s="107">
        <v>2225</v>
      </c>
      <c r="M285" s="107">
        <v>3704</v>
      </c>
      <c r="N285" s="107">
        <v>2436</v>
      </c>
      <c r="O285" s="107">
        <v>1830</v>
      </c>
      <c r="P285" s="107">
        <v>2723.318949</v>
      </c>
      <c r="Q285" s="107">
        <v>3415.3201469999999</v>
      </c>
      <c r="R285" s="107">
        <v>2324.6798530000001</v>
      </c>
      <c r="S285" s="107">
        <v>2519</v>
      </c>
      <c r="T285" s="107">
        <v>9145.3632689999995</v>
      </c>
      <c r="V285" s="72" t="s">
        <v>468</v>
      </c>
      <c r="W285" s="107">
        <v>4839.7960149999999</v>
      </c>
      <c r="X285" s="107">
        <v>2593.6193430000003</v>
      </c>
      <c r="Y285" s="107">
        <v>3111.5100440000006</v>
      </c>
      <c r="Z285" s="107">
        <v>4044</v>
      </c>
      <c r="AA285" s="107">
        <v>3925.9564099999998</v>
      </c>
      <c r="AB285" s="107">
        <v>3103.6661240000003</v>
      </c>
    </row>
    <row r="286" spans="2:28" ht="15.6">
      <c r="B286" s="72" t="s">
        <v>469</v>
      </c>
      <c r="C286" s="107">
        <v>15216</v>
      </c>
      <c r="D286" s="107">
        <v>11612</v>
      </c>
      <c r="E286" s="107">
        <v>2726</v>
      </c>
      <c r="F286" s="107">
        <v>2041</v>
      </c>
      <c r="G286" s="107">
        <v>1993</v>
      </c>
      <c r="H286" s="107">
        <v>1908</v>
      </c>
      <c r="I286" s="107">
        <v>2707</v>
      </c>
      <c r="J286" s="107">
        <v>2657</v>
      </c>
      <c r="K286" s="107">
        <v>2596</v>
      </c>
      <c r="L286" s="107">
        <v>2453</v>
      </c>
      <c r="M286" s="107">
        <v>2271</v>
      </c>
      <c r="N286" s="107">
        <v>1641</v>
      </c>
      <c r="O286" s="107">
        <v>938</v>
      </c>
      <c r="P286" s="107">
        <v>-564.52588099999991</v>
      </c>
      <c r="Q286" s="107">
        <v>918.475189</v>
      </c>
      <c r="R286" s="107">
        <v>587.524811</v>
      </c>
      <c r="S286" s="107">
        <v>810</v>
      </c>
      <c r="T286" s="107">
        <v>5981.2693849999996</v>
      </c>
      <c r="V286" s="72" t="s">
        <v>469</v>
      </c>
      <c r="W286" s="107">
        <v>1158.8954659999999</v>
      </c>
      <c r="X286" s="107">
        <v>2144.6996020000001</v>
      </c>
      <c r="Y286" s="107">
        <v>2812.5559699999999</v>
      </c>
      <c r="Z286" s="107">
        <v>1862</v>
      </c>
      <c r="AA286" s="107">
        <v>2238.285562</v>
      </c>
      <c r="AB286" s="107">
        <v>2227.5051469999999</v>
      </c>
    </row>
    <row r="287" spans="2:28" ht="15.6">
      <c r="B287" s="72" t="s">
        <v>68</v>
      </c>
      <c r="C287" s="107">
        <v>0</v>
      </c>
      <c r="D287" s="107">
        <v>0</v>
      </c>
      <c r="E287" s="107">
        <v>0</v>
      </c>
      <c r="F287" s="107">
        <v>0</v>
      </c>
      <c r="G287" s="107">
        <v>0</v>
      </c>
      <c r="H287" s="107">
        <v>0</v>
      </c>
      <c r="I287" s="107">
        <v>0</v>
      </c>
      <c r="J287" s="107">
        <v>0</v>
      </c>
      <c r="K287" s="107">
        <v>0</v>
      </c>
      <c r="L287" s="107">
        <v>0</v>
      </c>
      <c r="M287" s="107">
        <v>0</v>
      </c>
      <c r="N287" s="107">
        <v>0</v>
      </c>
      <c r="O287" s="107">
        <v>0</v>
      </c>
      <c r="P287" s="107">
        <v>0</v>
      </c>
      <c r="Q287" s="107">
        <v>0</v>
      </c>
      <c r="R287" s="107">
        <v>0</v>
      </c>
      <c r="S287" s="107">
        <v>0</v>
      </c>
      <c r="T287" s="107">
        <v>0</v>
      </c>
      <c r="V287" s="72" t="s">
        <v>68</v>
      </c>
      <c r="W287" s="107">
        <v>0</v>
      </c>
      <c r="X287" s="107">
        <v>0</v>
      </c>
      <c r="Y287" s="107">
        <v>0</v>
      </c>
      <c r="Z287" s="107" t="s">
        <v>1155</v>
      </c>
      <c r="AA287" s="107">
        <v>0</v>
      </c>
      <c r="AB287" s="107">
        <v>0</v>
      </c>
    </row>
    <row r="288" spans="2:28" ht="15.6">
      <c r="B288" s="72" t="s">
        <v>69</v>
      </c>
      <c r="C288" s="107">
        <v>9020</v>
      </c>
      <c r="D288" s="107">
        <v>8023</v>
      </c>
      <c r="E288" s="107">
        <v>2885</v>
      </c>
      <c r="F288" s="107">
        <v>1973</v>
      </c>
      <c r="G288" s="107">
        <v>1591</v>
      </c>
      <c r="H288" s="107">
        <v>2249</v>
      </c>
      <c r="I288" s="107">
        <v>3341</v>
      </c>
      <c r="J288" s="107">
        <v>1932</v>
      </c>
      <c r="K288" s="107">
        <v>1650</v>
      </c>
      <c r="L288" s="107">
        <v>2122</v>
      </c>
      <c r="M288" s="107">
        <v>3479</v>
      </c>
      <c r="N288" s="107">
        <v>2277</v>
      </c>
      <c r="O288" s="107">
        <v>1717</v>
      </c>
      <c r="P288" s="107">
        <v>2521.591617</v>
      </c>
      <c r="Q288" s="107">
        <v>3162.3334690000002</v>
      </c>
      <c r="R288" s="107">
        <v>2153.6665309999998</v>
      </c>
      <c r="S288" s="107">
        <v>2331</v>
      </c>
      <c r="T288" s="107">
        <v>8469.3363599999993</v>
      </c>
      <c r="V288" s="72" t="s">
        <v>69</v>
      </c>
      <c r="W288" s="107">
        <v>4481.2926070000003</v>
      </c>
      <c r="X288" s="107">
        <v>2401.4993910000003</v>
      </c>
      <c r="Y288" s="107">
        <v>8901.0675540000011</v>
      </c>
      <c r="Z288" s="107">
        <v>-2277</v>
      </c>
      <c r="AA288" s="107">
        <v>3635.144824</v>
      </c>
      <c r="AB288" s="107">
        <v>2758.7443290000001</v>
      </c>
    </row>
    <row r="289" spans="2:28" ht="15.6">
      <c r="B289" s="131" t="s">
        <v>70</v>
      </c>
      <c r="C289" s="138">
        <v>15752</v>
      </c>
      <c r="D289" s="138">
        <v>12091</v>
      </c>
      <c r="E289" s="138">
        <v>2899</v>
      </c>
      <c r="F289" s="138">
        <v>2151</v>
      </c>
      <c r="G289" s="138">
        <v>2077</v>
      </c>
      <c r="H289" s="138">
        <v>2010</v>
      </c>
      <c r="I289" s="138">
        <v>2892</v>
      </c>
      <c r="J289" s="138">
        <v>2752</v>
      </c>
      <c r="K289" s="138">
        <v>2672</v>
      </c>
      <c r="L289" s="138">
        <v>2556</v>
      </c>
      <c r="M289" s="138">
        <v>2496</v>
      </c>
      <c r="N289" s="138">
        <v>1800</v>
      </c>
      <c r="O289" s="138">
        <v>1051</v>
      </c>
      <c r="P289" s="138">
        <v>-362.79854900000009</v>
      </c>
      <c r="Q289" s="138">
        <f>+Q285+Q286+Q287-Q288</f>
        <v>1171.461867</v>
      </c>
      <c r="R289" s="138">
        <v>758.53813300000002</v>
      </c>
      <c r="S289" s="138">
        <v>998</v>
      </c>
      <c r="T289" s="138">
        <v>6657.2962939999998</v>
      </c>
      <c r="V289" s="72" t="s">
        <v>71</v>
      </c>
      <c r="W289" s="107">
        <v>46.526553999999997</v>
      </c>
      <c r="X289" s="107">
        <v>37.225268000000007</v>
      </c>
      <c r="Y289" s="138">
        <v>36.294354999999996</v>
      </c>
      <c r="Z289" s="138">
        <v>57</v>
      </c>
      <c r="AA289" s="138">
        <v>41.554876999999998</v>
      </c>
      <c r="AB289" s="107">
        <v>48.890116999999996</v>
      </c>
    </row>
    <row r="290" spans="2:28" ht="15.6">
      <c r="B290" s="74" t="s">
        <v>72</v>
      </c>
      <c r="C290" s="108">
        <v>15759</v>
      </c>
      <c r="D290" s="108">
        <v>12105</v>
      </c>
      <c r="E290" s="108">
        <v>2911</v>
      </c>
      <c r="F290" s="108">
        <v>2153</v>
      </c>
      <c r="G290" s="108">
        <v>2092</v>
      </c>
      <c r="H290" s="108">
        <v>2029</v>
      </c>
      <c r="I290" s="108">
        <v>3052</v>
      </c>
      <c r="J290" s="108">
        <v>2834</v>
      </c>
      <c r="K290" s="108">
        <v>2759</v>
      </c>
      <c r="L290" s="108">
        <v>2749</v>
      </c>
      <c r="M290" s="108">
        <v>2501</v>
      </c>
      <c r="N290" s="108">
        <v>1829</v>
      </c>
      <c r="O290" s="108">
        <v>1070</v>
      </c>
      <c r="P290" s="108">
        <v>-230.36245500000007</v>
      </c>
      <c r="Q290" s="108">
        <f>+Q283+Q289</f>
        <v>1115.944309</v>
      </c>
      <c r="R290" s="108">
        <v>811.05569100000002</v>
      </c>
      <c r="S290" s="108">
        <v>1086</v>
      </c>
      <c r="T290" s="108">
        <v>6787.2206029999998</v>
      </c>
      <c r="V290" s="74" t="s">
        <v>387</v>
      </c>
      <c r="W290" s="108">
        <v>2006.5997249999991</v>
      </c>
      <c r="X290" s="108">
        <v>3274.5702460000002</v>
      </c>
      <c r="Y290" s="108">
        <v>3951.9322470000006</v>
      </c>
      <c r="Z290" s="108">
        <v>3801</v>
      </c>
      <c r="AA290" s="108">
        <v>3574.844137999999</v>
      </c>
      <c r="AB290" s="108">
        <v>3366.8919070000011</v>
      </c>
    </row>
    <row r="291" spans="2:28" ht="15.6">
      <c r="B291" s="71"/>
      <c r="C291" s="8"/>
      <c r="D291" s="8"/>
      <c r="E291" s="8"/>
      <c r="F291" s="8"/>
      <c r="G291" s="8"/>
      <c r="H291" s="8"/>
      <c r="I291" s="8"/>
      <c r="J291" s="8"/>
      <c r="K291" s="8"/>
      <c r="L291" s="8"/>
      <c r="M291" s="8"/>
      <c r="N291" s="8"/>
      <c r="O291" s="8"/>
      <c r="P291" s="8"/>
      <c r="Q291" s="8"/>
      <c r="R291" s="8"/>
      <c r="S291" s="8"/>
      <c r="T291" s="8"/>
      <c r="W291" s="8"/>
      <c r="X291" s="8"/>
      <c r="Y291" s="8"/>
      <c r="Z291" s="8"/>
      <c r="AA291" s="8"/>
      <c r="AB291" s="8"/>
    </row>
    <row r="292" spans="2:28" ht="15.6">
      <c r="B292" s="72" t="s">
        <v>71</v>
      </c>
      <c r="C292" s="107">
        <v>50</v>
      </c>
      <c r="D292" s="107">
        <v>61</v>
      </c>
      <c r="E292" s="107">
        <v>20</v>
      </c>
      <c r="F292" s="107">
        <v>18</v>
      </c>
      <c r="G292" s="107">
        <v>17</v>
      </c>
      <c r="H292" s="107">
        <v>19</v>
      </c>
      <c r="I292" s="107">
        <v>20</v>
      </c>
      <c r="J292" s="107">
        <v>31</v>
      </c>
      <c r="K292" s="107">
        <v>34</v>
      </c>
      <c r="L292" s="107">
        <v>35</v>
      </c>
      <c r="M292" s="107">
        <v>35</v>
      </c>
      <c r="N292" s="107">
        <v>38</v>
      </c>
      <c r="O292" s="107">
        <v>41</v>
      </c>
      <c r="P292" s="107">
        <v>38.307843999999996</v>
      </c>
      <c r="Q292" s="107">
        <v>36.904197000000003</v>
      </c>
      <c r="R292" s="107">
        <v>41.095802999999997</v>
      </c>
      <c r="S292" s="107">
        <v>30</v>
      </c>
      <c r="T292" s="107">
        <v>114.575053</v>
      </c>
      <c r="W292" s="107"/>
      <c r="X292" s="107">
        <v>0</v>
      </c>
      <c r="Y292" s="107"/>
      <c r="Z292" s="107"/>
      <c r="AA292" s="107"/>
      <c r="AB292" s="107"/>
    </row>
    <row r="293" spans="2:28" ht="15.6">
      <c r="B293" s="72" t="s">
        <v>74</v>
      </c>
      <c r="C293" s="107">
        <v>0</v>
      </c>
      <c r="D293" s="107">
        <v>0</v>
      </c>
      <c r="E293" s="107">
        <v>0</v>
      </c>
      <c r="F293" s="107">
        <v>0</v>
      </c>
      <c r="G293" s="107">
        <v>0</v>
      </c>
      <c r="H293" s="107">
        <v>0</v>
      </c>
      <c r="I293" s="107">
        <v>0</v>
      </c>
      <c r="J293" s="107">
        <v>0</v>
      </c>
      <c r="K293" s="107">
        <v>0</v>
      </c>
      <c r="L293" s="107">
        <v>0</v>
      </c>
      <c r="M293" s="107">
        <v>0</v>
      </c>
      <c r="N293" s="107">
        <v>0</v>
      </c>
      <c r="O293" s="107">
        <v>0</v>
      </c>
      <c r="P293" s="107"/>
      <c r="Q293" s="107"/>
      <c r="R293" s="107"/>
      <c r="S293" s="107">
        <v>0</v>
      </c>
      <c r="T293" s="107"/>
      <c r="V293" s="38" t="s">
        <v>74</v>
      </c>
      <c r="W293" s="107">
        <v>0</v>
      </c>
      <c r="X293" s="107">
        <v>0</v>
      </c>
      <c r="Y293" s="107"/>
      <c r="Z293" s="107"/>
      <c r="AA293" s="107"/>
      <c r="AB293" s="107"/>
    </row>
    <row r="294" spans="2:28" ht="15.6">
      <c r="B294" s="72" t="s">
        <v>75</v>
      </c>
      <c r="C294" s="107">
        <v>-85</v>
      </c>
      <c r="D294" s="107">
        <v>45</v>
      </c>
      <c r="E294" s="107">
        <v>0</v>
      </c>
      <c r="F294" s="107">
        <v>12</v>
      </c>
      <c r="G294" s="107">
        <v>1</v>
      </c>
      <c r="H294" s="107">
        <v>1</v>
      </c>
      <c r="I294" s="107">
        <v>0</v>
      </c>
      <c r="J294" s="107">
        <v>4</v>
      </c>
      <c r="K294" s="107">
        <v>69</v>
      </c>
      <c r="L294" s="107">
        <v>14</v>
      </c>
      <c r="M294" s="107">
        <v>2</v>
      </c>
      <c r="N294" s="107">
        <v>-26</v>
      </c>
      <c r="O294" s="107">
        <v>29</v>
      </c>
      <c r="P294" s="107">
        <v>-20.576566</v>
      </c>
      <c r="Q294" s="107">
        <v>-31.001110000000001</v>
      </c>
      <c r="R294" s="107">
        <v>-21.998889999999999</v>
      </c>
      <c r="S294" s="107">
        <v>-11</v>
      </c>
      <c r="T294" s="107">
        <v>-78.663625999999994</v>
      </c>
      <c r="V294" s="38" t="s">
        <v>75</v>
      </c>
      <c r="W294" s="107">
        <v>28.112607000000001</v>
      </c>
      <c r="X294" s="107">
        <v>-24.084299999999999</v>
      </c>
      <c r="Y294" s="107">
        <v>-52.344563999999998</v>
      </c>
      <c r="Z294" s="107">
        <v>-178</v>
      </c>
      <c r="AA294" s="107">
        <v>-31.828976999999998</v>
      </c>
      <c r="AB294" s="107">
        <v>-92.906704000000005</v>
      </c>
    </row>
    <row r="295" spans="2:28" ht="15.6">
      <c r="B295" s="74" t="s">
        <v>76</v>
      </c>
      <c r="C295" s="109">
        <v>15624</v>
      </c>
      <c r="D295" s="109">
        <v>12089</v>
      </c>
      <c r="E295" s="109">
        <v>2891</v>
      </c>
      <c r="F295" s="109">
        <v>2147</v>
      </c>
      <c r="G295" s="109">
        <v>2076</v>
      </c>
      <c r="H295" s="109">
        <v>2011</v>
      </c>
      <c r="I295" s="109">
        <v>3032</v>
      </c>
      <c r="J295" s="109">
        <v>2807</v>
      </c>
      <c r="K295" s="109">
        <v>2794</v>
      </c>
      <c r="L295" s="109">
        <v>2728</v>
      </c>
      <c r="M295" s="109">
        <v>2468</v>
      </c>
      <c r="N295" s="109">
        <v>1765</v>
      </c>
      <c r="O295" s="109">
        <v>1058</v>
      </c>
      <c r="P295" s="109">
        <v>-289.24686500000007</v>
      </c>
      <c r="Q295" s="109">
        <f>+Q290-Q292+Q293+Q294</f>
        <v>1048.039002</v>
      </c>
      <c r="R295" s="109">
        <v>747.96099800000002</v>
      </c>
      <c r="S295" s="109">
        <v>1045</v>
      </c>
      <c r="T295" s="109">
        <v>6593.9819240000006</v>
      </c>
      <c r="V295" s="223" t="s">
        <v>76</v>
      </c>
      <c r="W295" s="109">
        <v>2034.7123319999992</v>
      </c>
      <c r="X295" s="109">
        <v>3250.4859460000002</v>
      </c>
      <c r="Y295" s="109">
        <v>3899.5876830000007</v>
      </c>
      <c r="Z295" s="109">
        <v>3623</v>
      </c>
      <c r="AA295" s="109">
        <v>3543.0151609999989</v>
      </c>
      <c r="AB295" s="109">
        <v>3273.9852030000011</v>
      </c>
    </row>
    <row r="296" spans="2:28" ht="15.6">
      <c r="B296" s="72"/>
      <c r="C296" s="107"/>
      <c r="D296" s="107"/>
      <c r="E296" s="107"/>
      <c r="F296" s="107"/>
      <c r="G296" s="107"/>
      <c r="H296" s="107"/>
      <c r="I296" s="107"/>
      <c r="J296" s="107"/>
      <c r="K296" s="107"/>
      <c r="L296" s="107"/>
      <c r="M296" s="107"/>
      <c r="N296" s="107"/>
      <c r="O296" s="107"/>
      <c r="P296" s="107"/>
      <c r="Q296" s="107"/>
      <c r="R296" s="107"/>
      <c r="S296" s="107">
        <v>0</v>
      </c>
      <c r="T296" s="107"/>
      <c r="V296" s="38"/>
      <c r="W296" s="107"/>
      <c r="X296" s="107">
        <v>0</v>
      </c>
      <c r="Y296" s="107"/>
      <c r="Z296" s="107"/>
      <c r="AA296" s="107"/>
      <c r="AB296" s="107"/>
    </row>
    <row r="297" spans="2:28" ht="15.6">
      <c r="B297" s="72" t="s">
        <v>77</v>
      </c>
      <c r="C297" s="107">
        <v>-5609</v>
      </c>
      <c r="D297" s="107">
        <v>-3906</v>
      </c>
      <c r="E297" s="107">
        <v>-720</v>
      </c>
      <c r="F297" s="107">
        <v>-829</v>
      </c>
      <c r="G297" s="107">
        <v>-753</v>
      </c>
      <c r="H297" s="107">
        <v>-663</v>
      </c>
      <c r="I297" s="107">
        <v>-835</v>
      </c>
      <c r="J297" s="107">
        <v>-750</v>
      </c>
      <c r="K297" s="107">
        <v>-727</v>
      </c>
      <c r="L297" s="107">
        <v>-506</v>
      </c>
      <c r="M297" s="107">
        <v>-619</v>
      </c>
      <c r="N297" s="107">
        <v>-606</v>
      </c>
      <c r="O297" s="107">
        <v>-549</v>
      </c>
      <c r="P297" s="107">
        <v>-619.42520399999989</v>
      </c>
      <c r="Q297" s="107">
        <f>328.430663-Q286</f>
        <v>-590.04452600000002</v>
      </c>
      <c r="R297" s="107">
        <v>-532.95547399999998</v>
      </c>
      <c r="S297" s="107">
        <v>-509</v>
      </c>
      <c r="T297" s="107">
        <v>-1942.4228720000001</v>
      </c>
      <c r="V297" s="38" t="s">
        <v>77</v>
      </c>
      <c r="W297" s="107">
        <v>-468.56694099999993</v>
      </c>
      <c r="X297" s="107">
        <v>1454.953035</v>
      </c>
      <c r="Y297" s="107">
        <v>2250.894276</v>
      </c>
      <c r="Z297" s="107">
        <v>2997</v>
      </c>
      <c r="AA297" s="107">
        <v>141.70372899999984</v>
      </c>
      <c r="AB297" s="107">
        <v>-1151.3493299999996</v>
      </c>
    </row>
    <row r="298" spans="2:28" ht="15.6">
      <c r="B298" s="74" t="s">
        <v>78</v>
      </c>
      <c r="C298" s="109">
        <v>10015</v>
      </c>
      <c r="D298" s="109">
        <v>8183</v>
      </c>
      <c r="E298" s="109">
        <v>2171</v>
      </c>
      <c r="F298" s="109">
        <v>1318</v>
      </c>
      <c r="G298" s="109">
        <v>1323</v>
      </c>
      <c r="H298" s="109">
        <v>1348</v>
      </c>
      <c r="I298" s="109">
        <v>2197</v>
      </c>
      <c r="J298" s="109">
        <v>2057</v>
      </c>
      <c r="K298" s="109">
        <v>2067</v>
      </c>
      <c r="L298" s="109">
        <v>2222</v>
      </c>
      <c r="M298" s="109">
        <v>1849</v>
      </c>
      <c r="N298" s="109">
        <v>1159</v>
      </c>
      <c r="O298" s="109">
        <v>509</v>
      </c>
      <c r="P298" s="109">
        <v>-908.67206899999996</v>
      </c>
      <c r="Q298" s="109">
        <f>+Q295+Q297</f>
        <v>457.99447599999996</v>
      </c>
      <c r="R298" s="109">
        <v>215.00552400000004</v>
      </c>
      <c r="S298" s="109">
        <v>536</v>
      </c>
      <c r="T298" s="109">
        <v>4651.5590520000005</v>
      </c>
      <c r="V298" s="223" t="s">
        <v>78</v>
      </c>
      <c r="W298" s="109">
        <v>1566.1453909999991</v>
      </c>
      <c r="X298" s="109">
        <v>4705.4389810000002</v>
      </c>
      <c r="Y298" s="109">
        <v>6150.4819590000006</v>
      </c>
      <c r="Z298" s="109">
        <v>6621</v>
      </c>
      <c r="AA298" s="109">
        <v>3684.7188899999987</v>
      </c>
      <c r="AB298" s="109">
        <v>2122.6358730000015</v>
      </c>
    </row>
    <row r="299" spans="2:28" ht="15.6">
      <c r="B299" s="71"/>
      <c r="C299" s="8"/>
      <c r="D299" s="8"/>
      <c r="E299" s="8"/>
      <c r="F299" s="8"/>
      <c r="G299" s="8"/>
      <c r="H299" s="8"/>
      <c r="I299" s="8"/>
      <c r="J299" s="8"/>
      <c r="K299" s="8"/>
      <c r="L299" s="8"/>
      <c r="M299" s="8"/>
      <c r="N299" s="8"/>
      <c r="O299" s="8"/>
      <c r="P299" s="8"/>
      <c r="Q299" s="8"/>
      <c r="R299" s="8"/>
      <c r="S299" s="8"/>
      <c r="T299" s="8"/>
      <c r="V299" s="328"/>
      <c r="W299" s="8"/>
      <c r="X299" s="8"/>
      <c r="Y299" s="8"/>
      <c r="Z299" s="8"/>
      <c r="AA299" s="8"/>
      <c r="AB299" s="8"/>
    </row>
    <row r="300" spans="2:28" ht="15.6">
      <c r="B300" s="72" t="s">
        <v>79</v>
      </c>
      <c r="C300" s="107">
        <v>2385</v>
      </c>
      <c r="D300" s="107">
        <v>2087</v>
      </c>
      <c r="E300" s="107">
        <v>587</v>
      </c>
      <c r="F300" s="107">
        <v>256</v>
      </c>
      <c r="G300" s="107">
        <v>357</v>
      </c>
      <c r="H300" s="107">
        <v>364</v>
      </c>
      <c r="I300" s="107">
        <v>593</v>
      </c>
      <c r="J300" s="107">
        <v>595</v>
      </c>
      <c r="K300" s="107">
        <v>558</v>
      </c>
      <c r="L300" s="107">
        <v>679</v>
      </c>
      <c r="M300" s="107">
        <v>500</v>
      </c>
      <c r="N300" s="107">
        <v>312</v>
      </c>
      <c r="O300" s="107">
        <v>194</v>
      </c>
      <c r="P300" s="107">
        <v>-245.34145799999999</v>
      </c>
      <c r="Q300" s="107">
        <v>-123.658509</v>
      </c>
      <c r="R300" s="107">
        <v>-58.341491000000005</v>
      </c>
      <c r="S300" s="107">
        <v>244</v>
      </c>
      <c r="T300" s="107">
        <v>-1306.2234840000001</v>
      </c>
      <c r="V300" s="38" t="s">
        <v>79</v>
      </c>
      <c r="W300" s="107">
        <v>425.46900399999998</v>
      </c>
      <c r="X300" s="107">
        <v>684.93140500000004</v>
      </c>
      <c r="Y300" s="107">
        <v>1232.0633329999998</v>
      </c>
      <c r="Z300" s="107">
        <v>1286</v>
      </c>
      <c r="AA300" s="107">
        <v>1010.349919</v>
      </c>
      <c r="AB300" s="107">
        <v>409.31764199999998</v>
      </c>
    </row>
    <row r="301" spans="2:28" ht="15.6">
      <c r="B301" s="74" t="s">
        <v>82</v>
      </c>
      <c r="C301" s="109">
        <v>7630</v>
      </c>
      <c r="D301" s="109">
        <v>6096</v>
      </c>
      <c r="E301" s="109">
        <v>1584</v>
      </c>
      <c r="F301" s="109">
        <v>1062</v>
      </c>
      <c r="G301" s="109">
        <v>966</v>
      </c>
      <c r="H301" s="109">
        <v>984</v>
      </c>
      <c r="I301" s="109">
        <v>1604</v>
      </c>
      <c r="J301" s="109">
        <v>1462</v>
      </c>
      <c r="K301" s="109">
        <v>1509</v>
      </c>
      <c r="L301" s="109">
        <v>1543</v>
      </c>
      <c r="M301" s="109">
        <v>1349</v>
      </c>
      <c r="N301" s="109">
        <v>847</v>
      </c>
      <c r="O301" s="109">
        <v>315</v>
      </c>
      <c r="P301" s="109">
        <v>-663.33061099999998</v>
      </c>
      <c r="Q301" s="109">
        <f>+Q298+Q300</f>
        <v>334.33596699999998</v>
      </c>
      <c r="R301" s="109">
        <v>156.66403300000002</v>
      </c>
      <c r="S301" s="109">
        <v>780</v>
      </c>
      <c r="T301" s="109">
        <v>3345.3355680000004</v>
      </c>
      <c r="V301" s="223" t="s">
        <v>82</v>
      </c>
      <c r="W301" s="109">
        <v>1140.6763869999991</v>
      </c>
      <c r="X301" s="109">
        <v>4020.507576</v>
      </c>
      <c r="Y301" s="109">
        <v>4918.4186260000006</v>
      </c>
      <c r="Z301" s="109">
        <v>5335</v>
      </c>
      <c r="AA301" s="109">
        <v>2674.368970999999</v>
      </c>
      <c r="AB301" s="109">
        <v>1713.3182310000016</v>
      </c>
    </row>
    <row r="302" spans="2:28" ht="15.6">
      <c r="B302" s="132"/>
      <c r="C302" s="132"/>
      <c r="D302" s="132"/>
      <c r="E302" s="132"/>
      <c r="F302" s="132"/>
      <c r="G302" s="132"/>
      <c r="H302" s="132"/>
      <c r="I302" s="132"/>
      <c r="J302" s="132"/>
      <c r="K302" s="132"/>
      <c r="L302" s="132"/>
      <c r="M302" s="132"/>
      <c r="N302" s="132"/>
      <c r="O302" s="132"/>
      <c r="W302" s="535"/>
      <c r="X302" s="535"/>
      <c r="Z302" s="535"/>
      <c r="AA302" s="535"/>
      <c r="AB302" s="535"/>
    </row>
    <row r="303" spans="2:28" ht="15.6">
      <c r="B303" s="132"/>
      <c r="C303" s="132"/>
      <c r="D303" s="132"/>
      <c r="E303" s="132"/>
      <c r="F303" s="132"/>
      <c r="G303" s="132"/>
      <c r="H303" s="132"/>
      <c r="I303" s="132"/>
      <c r="J303" s="132"/>
      <c r="K303" s="132"/>
      <c r="L303" s="132"/>
      <c r="M303" s="132"/>
      <c r="N303" s="132"/>
      <c r="O303" s="132"/>
      <c r="V303" s="74" t="s">
        <v>84</v>
      </c>
      <c r="W303" s="109">
        <v>2175</v>
      </c>
      <c r="X303" s="109">
        <v>4668.2137130000001</v>
      </c>
      <c r="Y303" s="109">
        <v>6114.1876040000006</v>
      </c>
      <c r="Z303" s="109">
        <v>6564</v>
      </c>
      <c r="AA303" s="109">
        <v>3643.1640129999987</v>
      </c>
      <c r="AB303" s="109">
        <v>2073.7457560000016</v>
      </c>
    </row>
    <row r="304" spans="2:28" ht="15.6">
      <c r="B304" s="54" t="s">
        <v>486</v>
      </c>
      <c r="C304" s="132"/>
      <c r="D304" s="132"/>
      <c r="E304" s="132"/>
      <c r="F304" s="132"/>
      <c r="G304" s="132"/>
      <c r="H304" s="77"/>
      <c r="I304" s="77"/>
      <c r="J304" s="77"/>
      <c r="K304" s="77"/>
      <c r="L304" s="77"/>
      <c r="M304" s="77"/>
      <c r="N304" s="77"/>
      <c r="O304" s="77"/>
      <c r="Z304" s="535"/>
      <c r="AA304" s="535"/>
      <c r="AB304" s="535"/>
    </row>
    <row r="305" spans="2:28" ht="15.6">
      <c r="B305" s="252" t="s">
        <v>478</v>
      </c>
      <c r="C305" s="132"/>
      <c r="D305" s="132"/>
      <c r="E305" s="132"/>
      <c r="F305" s="132"/>
      <c r="G305" s="132"/>
      <c r="H305" s="78"/>
      <c r="I305" s="78"/>
      <c r="J305" s="78"/>
      <c r="K305" s="78"/>
      <c r="L305" s="78"/>
      <c r="M305" s="78"/>
      <c r="N305" s="78"/>
      <c r="O305" s="78"/>
      <c r="Z305" s="535"/>
      <c r="AA305" s="535"/>
      <c r="AB305" s="535"/>
    </row>
    <row r="306" spans="2:28" ht="15.6">
      <c r="B306" s="79"/>
      <c r="C306" s="132"/>
      <c r="D306" s="132"/>
      <c r="E306" s="132"/>
      <c r="F306" s="132"/>
      <c r="G306" s="132"/>
      <c r="H306" s="79"/>
      <c r="I306" s="79"/>
      <c r="J306" s="79"/>
      <c r="K306" s="79"/>
      <c r="L306" s="79"/>
      <c r="M306" s="79"/>
      <c r="N306" s="79"/>
      <c r="O306" s="79"/>
      <c r="Z306" s="535"/>
      <c r="AA306" s="535"/>
      <c r="AB306" s="535"/>
    </row>
    <row r="307" spans="2:28" ht="15.6">
      <c r="B307" s="186"/>
      <c r="C307" s="187">
        <v>2016</v>
      </c>
      <c r="D307" s="187">
        <v>2017</v>
      </c>
      <c r="E307" s="187" t="s">
        <v>40</v>
      </c>
      <c r="F307" s="187" t="s">
        <v>41</v>
      </c>
      <c r="G307" s="187" t="s">
        <v>42</v>
      </c>
      <c r="H307" s="187" t="s">
        <v>43</v>
      </c>
      <c r="I307" s="187" t="s">
        <v>44</v>
      </c>
      <c r="J307" s="187" t="s">
        <v>45</v>
      </c>
      <c r="K307" s="187" t="s">
        <v>46</v>
      </c>
      <c r="L307" s="187" t="s">
        <v>47</v>
      </c>
      <c r="M307" s="187" t="s">
        <v>48</v>
      </c>
      <c r="N307" s="187" t="s">
        <v>49</v>
      </c>
      <c r="O307" s="187" t="s">
        <v>50</v>
      </c>
      <c r="P307" s="187" t="s">
        <v>51</v>
      </c>
      <c r="Q307" s="187" t="s">
        <v>52</v>
      </c>
      <c r="R307" s="187" t="s">
        <v>53</v>
      </c>
      <c r="S307" s="187" t="s">
        <v>54</v>
      </c>
      <c r="T307" s="187" t="s">
        <v>55</v>
      </c>
      <c r="V307" s="186"/>
      <c r="W307" s="551" t="s">
        <v>87</v>
      </c>
      <c r="X307" s="551" t="s">
        <v>56</v>
      </c>
      <c r="Y307" s="551" t="s">
        <v>57</v>
      </c>
      <c r="Z307" s="551" t="s">
        <v>1154</v>
      </c>
      <c r="AA307" s="551" t="str">
        <f>+AA6</f>
        <v>1T23</v>
      </c>
      <c r="AB307" s="536" t="s">
        <v>1207</v>
      </c>
    </row>
    <row r="308" spans="2:28" ht="15">
      <c r="B308" s="174" t="s">
        <v>88</v>
      </c>
      <c r="C308" s="174"/>
      <c r="D308" s="174"/>
      <c r="E308" s="174"/>
      <c r="F308" s="174"/>
      <c r="G308" s="174"/>
      <c r="H308" s="174"/>
      <c r="I308" s="174"/>
      <c r="J308" s="174"/>
      <c r="K308" s="174"/>
      <c r="L308" s="174"/>
      <c r="M308" s="174"/>
      <c r="N308" s="174"/>
      <c r="O308" s="174"/>
      <c r="P308" s="174"/>
      <c r="Q308" s="174"/>
      <c r="R308" s="174"/>
      <c r="S308" s="174"/>
      <c r="T308" s="174"/>
      <c r="V308" s="174" t="s">
        <v>88</v>
      </c>
      <c r="W308" s="549"/>
      <c r="X308" s="549"/>
      <c r="Y308" s="549"/>
      <c r="Z308" s="549"/>
      <c r="AA308" s="549"/>
      <c r="AB308" s="549"/>
    </row>
    <row r="309" spans="2:28" ht="15">
      <c r="B309" s="167" t="s">
        <v>89</v>
      </c>
      <c r="C309" s="168"/>
      <c r="D309" s="168"/>
      <c r="E309" s="168"/>
      <c r="F309" s="168"/>
      <c r="G309" s="168"/>
      <c r="H309" s="168"/>
      <c r="I309" s="168"/>
      <c r="J309" s="168"/>
      <c r="K309" s="168"/>
      <c r="L309" s="168"/>
      <c r="M309" s="168"/>
      <c r="N309" s="168"/>
      <c r="O309" s="168"/>
      <c r="P309" s="168"/>
      <c r="Q309" s="168"/>
      <c r="R309" s="168"/>
      <c r="S309" s="168"/>
      <c r="T309" s="168"/>
      <c r="V309" s="167" t="s">
        <v>89</v>
      </c>
      <c r="W309" s="519"/>
      <c r="X309" s="519"/>
      <c r="Y309" s="519"/>
      <c r="Z309" s="519"/>
      <c r="AA309" s="519"/>
      <c r="AB309" s="519"/>
    </row>
    <row r="310" spans="2:28" ht="15.6">
      <c r="B310" s="184" t="s">
        <v>90</v>
      </c>
      <c r="C310" s="99">
        <v>15394</v>
      </c>
      <c r="D310" s="99">
        <v>17639</v>
      </c>
      <c r="E310" s="99">
        <v>18705</v>
      </c>
      <c r="F310" s="99">
        <v>11239</v>
      </c>
      <c r="G310" s="99">
        <v>7968</v>
      </c>
      <c r="H310" s="99">
        <v>10916</v>
      </c>
      <c r="I310" s="99">
        <v>11448</v>
      </c>
      <c r="J310" s="99">
        <v>11565</v>
      </c>
      <c r="K310" s="99">
        <v>6960</v>
      </c>
      <c r="L310" s="99">
        <v>11688</v>
      </c>
      <c r="M310" s="99">
        <v>13229</v>
      </c>
      <c r="N310" s="99">
        <v>9632</v>
      </c>
      <c r="O310" s="99">
        <v>9546</v>
      </c>
      <c r="P310" s="99">
        <v>6624.6703779999998</v>
      </c>
      <c r="Q310" s="99">
        <v>9336.2129459999996</v>
      </c>
      <c r="R310" s="99">
        <v>10018</v>
      </c>
      <c r="S310" s="99">
        <v>8143</v>
      </c>
      <c r="T310" s="99">
        <v>12852.719831</v>
      </c>
      <c r="V310" s="184" t="s">
        <v>90</v>
      </c>
      <c r="W310" s="99">
        <v>14181.789519</v>
      </c>
      <c r="X310" s="99">
        <v>13212.293331000001</v>
      </c>
      <c r="Y310" s="99">
        <v>16520.006594999999</v>
      </c>
      <c r="Z310" s="99">
        <v>17043</v>
      </c>
      <c r="AA310" s="99">
        <v>24373.915376000001</v>
      </c>
      <c r="AB310" s="610">
        <v>13291.904818999999</v>
      </c>
    </row>
    <row r="311" spans="2:28" ht="15.6">
      <c r="B311" s="184" t="s">
        <v>91</v>
      </c>
      <c r="C311" s="99">
        <v>42568</v>
      </c>
      <c r="D311" s="99">
        <v>31078</v>
      </c>
      <c r="E311" s="99">
        <v>31940</v>
      </c>
      <c r="F311" s="99">
        <v>31103</v>
      </c>
      <c r="G311" s="99">
        <v>33366</v>
      </c>
      <c r="H311" s="99">
        <v>37959</v>
      </c>
      <c r="I311" s="99">
        <v>36697</v>
      </c>
      <c r="J311" s="99">
        <v>39189</v>
      </c>
      <c r="K311" s="99">
        <v>39422</v>
      </c>
      <c r="L311" s="99">
        <v>41920</v>
      </c>
      <c r="M311" s="99">
        <v>37880</v>
      </c>
      <c r="N311" s="99">
        <v>41718</v>
      </c>
      <c r="O311" s="99">
        <v>37840</v>
      </c>
      <c r="P311" s="99">
        <v>43580.052444000001</v>
      </c>
      <c r="Q311" s="99">
        <f>37606.959357+2540.845442</f>
        <v>40147.804798999998</v>
      </c>
      <c r="R311" s="99">
        <v>40435</v>
      </c>
      <c r="S311" s="99">
        <v>34656</v>
      </c>
      <c r="T311" s="99">
        <v>31695.668985</v>
      </c>
      <c r="V311" s="184" t="s">
        <v>91</v>
      </c>
      <c r="W311" s="99">
        <v>31888.870512000001</v>
      </c>
      <c r="X311" s="99">
        <v>35958.736399000001</v>
      </c>
      <c r="Y311" s="99">
        <v>29918.463578999999</v>
      </c>
      <c r="Z311" s="99">
        <v>40729</v>
      </c>
      <c r="AA311" s="99">
        <v>43250.979510999998</v>
      </c>
      <c r="AB311" s="610">
        <v>45933.734784</v>
      </c>
    </row>
    <row r="312" spans="2:28" ht="15.6">
      <c r="B312" s="184" t="s">
        <v>92</v>
      </c>
      <c r="C312" s="99">
        <v>4</v>
      </c>
      <c r="D312" s="99">
        <v>51</v>
      </c>
      <c r="E312" s="99">
        <v>145</v>
      </c>
      <c r="F312" s="99">
        <v>752</v>
      </c>
      <c r="G312" s="99">
        <v>1735</v>
      </c>
      <c r="H312" s="99">
        <v>2763</v>
      </c>
      <c r="I312" s="99">
        <v>4113</v>
      </c>
      <c r="J312" s="99">
        <v>2286</v>
      </c>
      <c r="K312" s="99">
        <v>3716</v>
      </c>
      <c r="L312" s="99">
        <v>5316</v>
      </c>
      <c r="M312" s="99">
        <v>7382</v>
      </c>
      <c r="N312" s="99">
        <v>8408</v>
      </c>
      <c r="O312" s="99">
        <v>3734</v>
      </c>
      <c r="P312" s="99">
        <v>4976.1125540000003</v>
      </c>
      <c r="Q312" s="99">
        <v>6475.7951880000001</v>
      </c>
      <c r="R312" s="99">
        <v>4050</v>
      </c>
      <c r="S312" s="99">
        <v>5441</v>
      </c>
      <c r="T312" s="99">
        <v>2865.5190339999999</v>
      </c>
      <c r="V312" s="184" t="s">
        <v>92</v>
      </c>
      <c r="W312" s="99">
        <v>1297.6537519999999</v>
      </c>
      <c r="X312" s="99">
        <v>1803.6367230000001</v>
      </c>
      <c r="Y312" s="99">
        <v>2648.0037109999998</v>
      </c>
      <c r="Z312" s="99">
        <v>82</v>
      </c>
      <c r="AA312" s="99">
        <v>2608.8498549999999</v>
      </c>
      <c r="AB312" s="610">
        <v>3708.5852450000002</v>
      </c>
    </row>
    <row r="313" spans="2:28" ht="15.6">
      <c r="B313" s="184" t="s">
        <v>94</v>
      </c>
      <c r="C313" s="99">
        <v>199</v>
      </c>
      <c r="D313" s="99">
        <v>267</v>
      </c>
      <c r="E313" s="99">
        <v>163</v>
      </c>
      <c r="F313" s="99">
        <v>654</v>
      </c>
      <c r="G313" s="99">
        <v>552</v>
      </c>
      <c r="H313" s="99">
        <v>434</v>
      </c>
      <c r="I313" s="99">
        <v>339</v>
      </c>
      <c r="J313" s="99">
        <v>271</v>
      </c>
      <c r="K313" s="99">
        <v>171</v>
      </c>
      <c r="L313" s="99">
        <v>439</v>
      </c>
      <c r="M313" s="99">
        <v>502</v>
      </c>
      <c r="N313" s="99">
        <v>409</v>
      </c>
      <c r="O313" s="99">
        <v>254</v>
      </c>
      <c r="P313" s="99">
        <v>627.04787099999999</v>
      </c>
      <c r="Q313" s="99">
        <v>945.61449800000003</v>
      </c>
      <c r="R313" s="99">
        <v>669</v>
      </c>
      <c r="S313" s="99">
        <v>528</v>
      </c>
      <c r="T313" s="99">
        <v>351.639974</v>
      </c>
      <c r="V313" s="184" t="s">
        <v>94</v>
      </c>
      <c r="W313" s="99">
        <v>228.16422</v>
      </c>
      <c r="X313" s="99">
        <v>1088.6082879999999</v>
      </c>
      <c r="Y313" s="99">
        <v>965.11607700000002</v>
      </c>
      <c r="Z313" s="99">
        <v>803</v>
      </c>
      <c r="AA313" s="99">
        <v>607.17938200000003</v>
      </c>
      <c r="AB313" s="610">
        <v>409.30907100000002</v>
      </c>
    </row>
    <row r="314" spans="2:28" ht="15.6">
      <c r="B314" s="184" t="s">
        <v>391</v>
      </c>
      <c r="C314" s="99">
        <v>0</v>
      </c>
      <c r="D314" s="99">
        <v>0</v>
      </c>
      <c r="E314" s="99">
        <v>0</v>
      </c>
      <c r="F314" s="99">
        <v>0</v>
      </c>
      <c r="G314" s="99">
        <v>0</v>
      </c>
      <c r="H314" s="99">
        <v>0</v>
      </c>
      <c r="I314" s="99">
        <v>0</v>
      </c>
      <c r="J314" s="99">
        <v>0</v>
      </c>
      <c r="K314" s="99">
        <v>0</v>
      </c>
      <c r="L314" s="99">
        <v>0</v>
      </c>
      <c r="M314" s="99">
        <v>0</v>
      </c>
      <c r="N314" s="99">
        <v>0</v>
      </c>
      <c r="O314" s="99">
        <v>0</v>
      </c>
      <c r="P314" s="99">
        <v>0</v>
      </c>
      <c r="Q314" s="99">
        <v>0</v>
      </c>
      <c r="R314" s="99">
        <v>0</v>
      </c>
      <c r="S314" s="99">
        <v>0</v>
      </c>
      <c r="T314" s="99">
        <v>0</v>
      </c>
      <c r="V314" s="184" t="s">
        <v>391</v>
      </c>
      <c r="W314" s="99">
        <v>0</v>
      </c>
      <c r="X314" s="99">
        <v>0</v>
      </c>
      <c r="Y314" s="99">
        <v>0</v>
      </c>
      <c r="Z314" s="99" t="s">
        <v>1155</v>
      </c>
      <c r="AA314" s="99">
        <v>0</v>
      </c>
      <c r="AB314" s="610">
        <v>0</v>
      </c>
    </row>
    <row r="315" spans="2:28" ht="15.6">
      <c r="B315" s="184" t="s">
        <v>95</v>
      </c>
      <c r="C315" s="99">
        <v>0</v>
      </c>
      <c r="D315" s="99">
        <v>0</v>
      </c>
      <c r="E315" s="99">
        <v>0</v>
      </c>
      <c r="F315" s="99">
        <v>0</v>
      </c>
      <c r="G315" s="99">
        <v>0</v>
      </c>
      <c r="H315" s="99">
        <v>0</v>
      </c>
      <c r="I315" s="99">
        <v>0</v>
      </c>
      <c r="J315" s="99">
        <v>0</v>
      </c>
      <c r="K315" s="99">
        <v>0</v>
      </c>
      <c r="L315" s="99">
        <v>0</v>
      </c>
      <c r="M315" s="99">
        <v>0</v>
      </c>
      <c r="N315" s="99">
        <v>0</v>
      </c>
      <c r="O315" s="99">
        <v>0</v>
      </c>
      <c r="P315" s="99">
        <v>0</v>
      </c>
      <c r="Q315" s="99">
        <v>0</v>
      </c>
      <c r="R315" s="99">
        <v>0</v>
      </c>
      <c r="S315" s="99">
        <v>0</v>
      </c>
      <c r="T315" s="99">
        <v>0</v>
      </c>
      <c r="V315" s="184" t="s">
        <v>95</v>
      </c>
      <c r="W315" s="99"/>
      <c r="X315" s="99">
        <v>0</v>
      </c>
      <c r="Y315" s="99">
        <v>0</v>
      </c>
      <c r="Z315" s="99" t="s">
        <v>1155</v>
      </c>
      <c r="AA315" s="99">
        <v>0</v>
      </c>
      <c r="AB315" s="610">
        <v>0</v>
      </c>
    </row>
    <row r="316" spans="2:28" ht="15">
      <c r="B316" s="121" t="s">
        <v>96</v>
      </c>
      <c r="C316" s="171">
        <v>58165</v>
      </c>
      <c r="D316" s="171">
        <v>49035</v>
      </c>
      <c r="E316" s="171">
        <v>50953</v>
      </c>
      <c r="F316" s="171">
        <v>43748</v>
      </c>
      <c r="G316" s="171">
        <v>43621</v>
      </c>
      <c r="H316" s="171">
        <v>52072</v>
      </c>
      <c r="I316" s="171">
        <v>52597</v>
      </c>
      <c r="J316" s="171">
        <v>53311</v>
      </c>
      <c r="K316" s="171">
        <v>50269</v>
      </c>
      <c r="L316" s="171">
        <v>59363</v>
      </c>
      <c r="M316" s="171">
        <v>58993</v>
      </c>
      <c r="N316" s="171">
        <v>60167</v>
      </c>
      <c r="O316" s="171">
        <v>51374</v>
      </c>
      <c r="P316" s="171">
        <f>SUM(P310:P315)</f>
        <v>55807.883247000005</v>
      </c>
      <c r="Q316" s="171">
        <f>SUM(Q310:Q315)</f>
        <v>56905.427430999996</v>
      </c>
      <c r="R316" s="171">
        <v>55172</v>
      </c>
      <c r="S316" s="171">
        <v>48768</v>
      </c>
      <c r="T316" s="171">
        <v>47765.547823999994</v>
      </c>
      <c r="V316" s="121" t="s">
        <v>96</v>
      </c>
      <c r="W316" s="541">
        <v>47596.478002999997</v>
      </c>
      <c r="X316" s="541">
        <v>52063.274741000008</v>
      </c>
      <c r="Y316" s="541">
        <v>50051.589961999998</v>
      </c>
      <c r="Z316" s="541">
        <v>58658</v>
      </c>
      <c r="AA316" s="541">
        <v>70840.924123999997</v>
      </c>
      <c r="AB316" s="541">
        <v>63343.533919000009</v>
      </c>
    </row>
    <row r="317" spans="2:28" ht="15">
      <c r="B317" s="167" t="s">
        <v>97</v>
      </c>
      <c r="C317" s="168"/>
      <c r="D317" s="168"/>
      <c r="E317" s="168"/>
      <c r="F317" s="168"/>
      <c r="G317" s="168"/>
      <c r="H317" s="168"/>
      <c r="I317" s="168"/>
      <c r="J317" s="168"/>
      <c r="K317" s="168"/>
      <c r="L317" s="168"/>
      <c r="M317" s="168"/>
      <c r="N317" s="168"/>
      <c r="O317" s="168"/>
      <c r="P317" s="168"/>
      <c r="Q317" s="168"/>
      <c r="R317" s="168"/>
      <c r="S317" s="168">
        <v>0</v>
      </c>
      <c r="T317" s="168"/>
      <c r="V317" s="167" t="s">
        <v>97</v>
      </c>
      <c r="W317" s="519"/>
      <c r="X317" s="519"/>
      <c r="Y317" s="519"/>
      <c r="Z317" s="519"/>
      <c r="AA317" s="519"/>
      <c r="AB317" s="519"/>
    </row>
    <row r="318" spans="2:28" ht="15.6">
      <c r="B318" s="184" t="s">
        <v>98</v>
      </c>
      <c r="C318" s="99">
        <v>0</v>
      </c>
      <c r="D318" s="99">
        <v>0</v>
      </c>
      <c r="E318" s="99">
        <v>0</v>
      </c>
      <c r="F318" s="99">
        <v>0</v>
      </c>
      <c r="G318" s="99">
        <v>0</v>
      </c>
      <c r="H318" s="99">
        <v>0</v>
      </c>
      <c r="I318" s="99">
        <v>0</v>
      </c>
      <c r="J318" s="99">
        <v>0</v>
      </c>
      <c r="K318" s="99">
        <v>0</v>
      </c>
      <c r="L318" s="99">
        <v>0</v>
      </c>
      <c r="M318" s="99">
        <v>0</v>
      </c>
      <c r="N318" s="99">
        <v>0</v>
      </c>
      <c r="O318" s="99">
        <v>0</v>
      </c>
      <c r="P318" s="99">
        <v>0</v>
      </c>
      <c r="Q318" s="99">
        <v>0</v>
      </c>
      <c r="R318" s="99">
        <v>0</v>
      </c>
      <c r="S318" s="99">
        <v>0</v>
      </c>
      <c r="T318" s="99">
        <v>0</v>
      </c>
      <c r="V318" s="184" t="s">
        <v>98</v>
      </c>
      <c r="W318" s="99">
        <v>0</v>
      </c>
      <c r="X318" s="99">
        <v>0</v>
      </c>
      <c r="Y318" s="99">
        <v>0</v>
      </c>
      <c r="Z318" s="99" t="s">
        <v>1155</v>
      </c>
      <c r="AA318" s="99">
        <v>0</v>
      </c>
      <c r="AB318" s="542">
        <v>0</v>
      </c>
    </row>
    <row r="319" spans="2:28" ht="15.6">
      <c r="B319" s="184" t="s">
        <v>99</v>
      </c>
      <c r="C319" s="99">
        <v>0</v>
      </c>
      <c r="D319" s="99">
        <v>0</v>
      </c>
      <c r="E319" s="99">
        <v>0</v>
      </c>
      <c r="F319" s="99">
        <v>0</v>
      </c>
      <c r="G319" s="99">
        <v>0</v>
      </c>
      <c r="H319" s="99">
        <v>0</v>
      </c>
      <c r="I319" s="99">
        <v>0</v>
      </c>
      <c r="J319" s="99">
        <v>0</v>
      </c>
      <c r="K319" s="99">
        <v>0</v>
      </c>
      <c r="L319" s="99">
        <v>0</v>
      </c>
      <c r="M319" s="99">
        <v>0</v>
      </c>
      <c r="N319" s="99">
        <v>0</v>
      </c>
      <c r="O319" s="99">
        <v>0</v>
      </c>
      <c r="P319" s="99">
        <v>0</v>
      </c>
      <c r="Q319" s="99">
        <v>0</v>
      </c>
      <c r="R319" s="99">
        <v>0</v>
      </c>
      <c r="S319" s="99">
        <v>0</v>
      </c>
      <c r="T319" s="99">
        <v>0</v>
      </c>
      <c r="V319" s="184" t="s">
        <v>99</v>
      </c>
      <c r="W319" s="99">
        <v>0</v>
      </c>
      <c r="X319" s="99">
        <v>0</v>
      </c>
      <c r="Y319" s="99">
        <v>0</v>
      </c>
      <c r="Z319" s="99" t="s">
        <v>1155</v>
      </c>
      <c r="AA319" s="99">
        <v>0</v>
      </c>
      <c r="AB319" s="542">
        <v>0</v>
      </c>
    </row>
    <row r="320" spans="2:28" ht="30">
      <c r="B320" s="184" t="s">
        <v>150</v>
      </c>
      <c r="C320" s="99">
        <v>0</v>
      </c>
      <c r="D320" s="99">
        <v>0</v>
      </c>
      <c r="E320" s="99">
        <v>0</v>
      </c>
      <c r="F320" s="99">
        <v>0</v>
      </c>
      <c r="G320" s="99">
        <v>0</v>
      </c>
      <c r="H320" s="99">
        <v>0</v>
      </c>
      <c r="I320" s="99">
        <v>0</v>
      </c>
      <c r="J320" s="99">
        <v>0</v>
      </c>
      <c r="K320" s="99">
        <v>0</v>
      </c>
      <c r="L320" s="99">
        <v>0</v>
      </c>
      <c r="M320" s="99">
        <v>0</v>
      </c>
      <c r="N320" s="99">
        <v>0</v>
      </c>
      <c r="O320" s="99">
        <v>0</v>
      </c>
      <c r="P320" s="99">
        <v>0</v>
      </c>
      <c r="Q320" s="99">
        <v>0</v>
      </c>
      <c r="R320" s="99">
        <v>0</v>
      </c>
      <c r="S320" s="99">
        <v>0</v>
      </c>
      <c r="T320" s="99">
        <v>0</v>
      </c>
      <c r="V320" s="184" t="s">
        <v>150</v>
      </c>
      <c r="W320" s="99">
        <v>0</v>
      </c>
      <c r="X320" s="99">
        <v>0</v>
      </c>
      <c r="Y320" s="99">
        <v>0</v>
      </c>
      <c r="Z320" s="99" t="s">
        <v>1155</v>
      </c>
      <c r="AA320" s="99">
        <v>0</v>
      </c>
      <c r="AB320" s="542">
        <v>0</v>
      </c>
    </row>
    <row r="321" spans="2:28" ht="15.6">
      <c r="B321" s="184" t="s">
        <v>151</v>
      </c>
      <c r="C321" s="99">
        <v>0</v>
      </c>
      <c r="D321" s="99">
        <v>0</v>
      </c>
      <c r="E321" s="99">
        <v>0</v>
      </c>
      <c r="F321" s="99">
        <v>0</v>
      </c>
      <c r="G321" s="99">
        <v>0</v>
      </c>
      <c r="H321" s="99">
        <v>0</v>
      </c>
      <c r="I321" s="99">
        <v>0</v>
      </c>
      <c r="J321" s="99">
        <v>0</v>
      </c>
      <c r="K321" s="99">
        <v>0</v>
      </c>
      <c r="L321" s="99">
        <v>0</v>
      </c>
      <c r="M321" s="99">
        <v>0</v>
      </c>
      <c r="N321" s="99">
        <v>0</v>
      </c>
      <c r="O321" s="99">
        <v>0</v>
      </c>
      <c r="P321" s="99">
        <v>0</v>
      </c>
      <c r="Q321" s="99">
        <v>0</v>
      </c>
      <c r="R321" s="99">
        <v>0</v>
      </c>
      <c r="S321" s="99">
        <v>0</v>
      </c>
      <c r="T321" s="99">
        <v>0</v>
      </c>
      <c r="V321" s="184" t="s">
        <v>151</v>
      </c>
      <c r="W321" s="99">
        <v>0</v>
      </c>
      <c r="X321" s="99">
        <v>0</v>
      </c>
      <c r="Y321" s="99">
        <v>0</v>
      </c>
      <c r="Z321" s="99" t="s">
        <v>1155</v>
      </c>
      <c r="AA321" s="99">
        <v>0</v>
      </c>
      <c r="AB321" s="542">
        <v>0</v>
      </c>
    </row>
    <row r="322" spans="2:28" ht="15.6">
      <c r="B322" s="184" t="s">
        <v>91</v>
      </c>
      <c r="C322" s="99">
        <v>60824</v>
      </c>
      <c r="D322" s="99">
        <v>53099</v>
      </c>
      <c r="E322" s="99">
        <v>49057</v>
      </c>
      <c r="F322" s="99">
        <v>46294</v>
      </c>
      <c r="G322" s="99">
        <v>41324</v>
      </c>
      <c r="H322" s="99">
        <v>35803</v>
      </c>
      <c r="I322" s="99">
        <v>34533</v>
      </c>
      <c r="J322" s="99">
        <v>31945</v>
      </c>
      <c r="K322" s="99">
        <v>27240</v>
      </c>
      <c r="L322" s="99">
        <v>22783</v>
      </c>
      <c r="M322" s="99">
        <v>19872</v>
      </c>
      <c r="N322" s="99">
        <v>19483</v>
      </c>
      <c r="O322" s="99">
        <v>15985</v>
      </c>
      <c r="P322" s="99">
        <v>10261.749362</v>
      </c>
      <c r="Q322" s="99">
        <v>5178.3844600000002</v>
      </c>
      <c r="R322" s="99">
        <v>1273</v>
      </c>
      <c r="S322" s="99">
        <v>0</v>
      </c>
      <c r="T322" s="99">
        <v>0</v>
      </c>
      <c r="V322" s="184" t="s">
        <v>91</v>
      </c>
      <c r="W322" s="99">
        <v>0</v>
      </c>
      <c r="X322" s="99">
        <v>0</v>
      </c>
      <c r="Y322" s="99">
        <v>0</v>
      </c>
      <c r="Z322" s="99" t="s">
        <v>1155</v>
      </c>
      <c r="AA322" s="99">
        <v>0</v>
      </c>
      <c r="AB322" s="542">
        <v>0</v>
      </c>
    </row>
    <row r="323" spans="2:28" ht="15.6">
      <c r="B323" s="184" t="s">
        <v>102</v>
      </c>
      <c r="C323" s="99">
        <v>0</v>
      </c>
      <c r="D323" s="99">
        <v>0</v>
      </c>
      <c r="E323" s="99">
        <v>0</v>
      </c>
      <c r="F323" s="99">
        <v>0</v>
      </c>
      <c r="G323" s="99">
        <v>0</v>
      </c>
      <c r="H323" s="99">
        <v>0</v>
      </c>
      <c r="I323" s="99">
        <v>0</v>
      </c>
      <c r="J323" s="99">
        <v>0</v>
      </c>
      <c r="K323" s="99">
        <v>0</v>
      </c>
      <c r="L323" s="99">
        <v>0</v>
      </c>
      <c r="M323" s="99">
        <v>0</v>
      </c>
      <c r="N323" s="99">
        <v>0</v>
      </c>
      <c r="O323" s="99">
        <v>0</v>
      </c>
      <c r="P323" s="99">
        <v>0</v>
      </c>
      <c r="Q323" s="99">
        <v>0</v>
      </c>
      <c r="R323" s="99">
        <v>0</v>
      </c>
      <c r="S323" s="99">
        <v>0</v>
      </c>
      <c r="T323" s="99">
        <v>0</v>
      </c>
      <c r="V323" s="184" t="s">
        <v>102</v>
      </c>
      <c r="W323" s="99">
        <v>0</v>
      </c>
      <c r="X323" s="99">
        <v>0</v>
      </c>
      <c r="Y323" s="99">
        <v>0</v>
      </c>
      <c r="Z323" s="99" t="s">
        <v>1155</v>
      </c>
      <c r="AA323" s="99">
        <v>0</v>
      </c>
      <c r="AB323" s="542">
        <v>0</v>
      </c>
    </row>
    <row r="324" spans="2:28" ht="15.6">
      <c r="B324" s="184" t="s">
        <v>103</v>
      </c>
      <c r="C324" s="99">
        <v>61</v>
      </c>
      <c r="D324" s="99">
        <v>102</v>
      </c>
      <c r="E324" s="99">
        <v>91</v>
      </c>
      <c r="F324" s="99">
        <v>82</v>
      </c>
      <c r="G324" s="99">
        <v>74</v>
      </c>
      <c r="H324" s="99">
        <v>79</v>
      </c>
      <c r="I324" s="99">
        <v>192</v>
      </c>
      <c r="J324" s="99">
        <v>98</v>
      </c>
      <c r="K324" s="99">
        <v>106</v>
      </c>
      <c r="L324" s="99">
        <v>108</v>
      </c>
      <c r="M324" s="99">
        <v>109</v>
      </c>
      <c r="N324" s="99">
        <v>101</v>
      </c>
      <c r="O324" s="99">
        <v>94</v>
      </c>
      <c r="P324" s="99">
        <v>91.234666000000004</v>
      </c>
      <c r="Q324" s="99">
        <v>83.537306000000001</v>
      </c>
      <c r="R324" s="99">
        <v>80</v>
      </c>
      <c r="S324" s="99">
        <v>72</v>
      </c>
      <c r="T324" s="99">
        <v>63.840912000000003</v>
      </c>
      <c r="V324" s="184" t="s">
        <v>103</v>
      </c>
      <c r="W324" s="99">
        <v>65.056141999999994</v>
      </c>
      <c r="X324" s="99">
        <v>56.764273000000003</v>
      </c>
      <c r="Y324" s="99">
        <v>164.79274599999999</v>
      </c>
      <c r="Z324" s="99">
        <v>268</v>
      </c>
      <c r="AA324" s="99">
        <v>248.55449999999999</v>
      </c>
      <c r="AB324" s="542">
        <v>230.27708200000001</v>
      </c>
    </row>
    <row r="325" spans="2:28" ht="15.6">
      <c r="B325" s="184" t="s">
        <v>104</v>
      </c>
      <c r="C325" s="99">
        <v>0</v>
      </c>
      <c r="D325" s="99">
        <v>0</v>
      </c>
      <c r="E325" s="99">
        <v>0</v>
      </c>
      <c r="F325" s="99">
        <v>0</v>
      </c>
      <c r="G325" s="99">
        <v>0</v>
      </c>
      <c r="H325" s="99">
        <v>0</v>
      </c>
      <c r="I325" s="99">
        <v>0</v>
      </c>
      <c r="J325" s="99">
        <v>0</v>
      </c>
      <c r="K325" s="99">
        <v>0</v>
      </c>
      <c r="L325" s="99">
        <v>0</v>
      </c>
      <c r="M325" s="99">
        <v>0</v>
      </c>
      <c r="N325" s="99">
        <v>0</v>
      </c>
      <c r="O325" s="99">
        <v>0</v>
      </c>
      <c r="P325" s="99">
        <v>0</v>
      </c>
      <c r="Q325" s="99">
        <v>0</v>
      </c>
      <c r="R325" s="99">
        <v>0</v>
      </c>
      <c r="S325" s="99">
        <v>0</v>
      </c>
      <c r="T325" s="99">
        <v>0</v>
      </c>
      <c r="V325" s="184" t="s">
        <v>104</v>
      </c>
      <c r="W325" s="99">
        <v>0</v>
      </c>
      <c r="X325" s="99">
        <v>0</v>
      </c>
      <c r="Y325" s="99">
        <v>0</v>
      </c>
      <c r="Z325" s="99" t="s">
        <v>1155</v>
      </c>
      <c r="AA325" s="99">
        <v>0</v>
      </c>
      <c r="AB325" s="542">
        <v>0</v>
      </c>
    </row>
    <row r="326" spans="2:28" ht="15.6">
      <c r="B326" s="184" t="s">
        <v>106</v>
      </c>
      <c r="C326" s="99">
        <v>108</v>
      </c>
      <c r="D326" s="99">
        <v>197</v>
      </c>
      <c r="E326" s="99">
        <v>188</v>
      </c>
      <c r="F326" s="99">
        <v>179</v>
      </c>
      <c r="G326" s="99">
        <v>177</v>
      </c>
      <c r="H326" s="99">
        <v>168</v>
      </c>
      <c r="I326" s="99">
        <v>182</v>
      </c>
      <c r="J326" s="99">
        <v>172</v>
      </c>
      <c r="K326" s="99">
        <v>162</v>
      </c>
      <c r="L326" s="99">
        <v>153</v>
      </c>
      <c r="M326" s="99">
        <v>155</v>
      </c>
      <c r="N326" s="99">
        <v>141</v>
      </c>
      <c r="O326" s="99">
        <v>129</v>
      </c>
      <c r="P326" s="99">
        <v>115.19507400000001</v>
      </c>
      <c r="Q326" s="99">
        <v>102.692087</v>
      </c>
      <c r="R326" s="99">
        <v>92</v>
      </c>
      <c r="S326" s="99">
        <v>82</v>
      </c>
      <c r="T326" s="99">
        <v>71.554449000000005</v>
      </c>
      <c r="V326" s="184" t="s">
        <v>106</v>
      </c>
      <c r="W326" s="99">
        <v>62.955249999999999</v>
      </c>
      <c r="X326" s="99">
        <v>52.042031999999999</v>
      </c>
      <c r="Y326" s="99">
        <v>41.128813000000001</v>
      </c>
      <c r="Z326" s="99">
        <v>30</v>
      </c>
      <c r="AA326" s="99">
        <v>22.433903999999998</v>
      </c>
      <c r="AB326" s="542">
        <v>16.958731</v>
      </c>
    </row>
    <row r="327" spans="2:28" ht="15.6">
      <c r="B327" s="184" t="s">
        <v>94</v>
      </c>
      <c r="C327" s="99">
        <v>0</v>
      </c>
      <c r="D327" s="99">
        <v>0</v>
      </c>
      <c r="E327" s="99">
        <v>0</v>
      </c>
      <c r="F327" s="99">
        <v>0</v>
      </c>
      <c r="G327" s="99">
        <v>0</v>
      </c>
      <c r="H327" s="99">
        <v>0</v>
      </c>
      <c r="I327" s="99">
        <v>0</v>
      </c>
      <c r="J327" s="99">
        <v>0</v>
      </c>
      <c r="K327" s="99">
        <v>0</v>
      </c>
      <c r="L327" s="99">
        <v>0</v>
      </c>
      <c r="M327" s="99">
        <v>0</v>
      </c>
      <c r="N327" s="99">
        <v>0</v>
      </c>
      <c r="O327" s="99">
        <v>0</v>
      </c>
      <c r="P327" s="99">
        <v>0</v>
      </c>
      <c r="Q327" s="99">
        <v>0</v>
      </c>
      <c r="R327" s="99">
        <v>0</v>
      </c>
      <c r="S327" s="99">
        <v>0</v>
      </c>
      <c r="T327" s="99">
        <v>0</v>
      </c>
      <c r="V327" s="184" t="s">
        <v>94</v>
      </c>
      <c r="W327" s="99">
        <v>0</v>
      </c>
      <c r="X327" s="99">
        <v>0</v>
      </c>
      <c r="Y327" s="99">
        <v>0</v>
      </c>
      <c r="Z327" s="99" t="s">
        <v>1155</v>
      </c>
      <c r="AA327" s="99">
        <v>0</v>
      </c>
      <c r="AB327" s="542">
        <v>0</v>
      </c>
    </row>
    <row r="328" spans="2:28" ht="15.6">
      <c r="B328" s="184" t="s">
        <v>107</v>
      </c>
      <c r="C328" s="99">
        <v>0</v>
      </c>
      <c r="D328" s="99">
        <v>0</v>
      </c>
      <c r="E328" s="99">
        <v>0</v>
      </c>
      <c r="F328" s="99">
        <v>0</v>
      </c>
      <c r="G328" s="99">
        <v>0</v>
      </c>
      <c r="H328" s="99">
        <v>0</v>
      </c>
      <c r="I328" s="99">
        <v>0</v>
      </c>
      <c r="J328" s="99">
        <v>0</v>
      </c>
      <c r="K328" s="99">
        <v>0</v>
      </c>
      <c r="L328" s="99">
        <v>0</v>
      </c>
      <c r="M328" s="99">
        <v>0</v>
      </c>
      <c r="N328" s="99">
        <v>0</v>
      </c>
      <c r="O328" s="99">
        <v>0</v>
      </c>
      <c r="P328" s="99">
        <v>0</v>
      </c>
      <c r="Q328" s="99">
        <v>0</v>
      </c>
      <c r="R328" s="99">
        <v>0</v>
      </c>
      <c r="S328" s="99">
        <v>0</v>
      </c>
      <c r="T328" s="99">
        <v>0</v>
      </c>
      <c r="V328" s="184" t="s">
        <v>107</v>
      </c>
      <c r="W328" s="99">
        <v>0</v>
      </c>
      <c r="X328" s="99">
        <v>0</v>
      </c>
      <c r="Y328" s="99">
        <v>0</v>
      </c>
      <c r="Z328" s="99" t="s">
        <v>1155</v>
      </c>
      <c r="AA328" s="99">
        <v>0</v>
      </c>
      <c r="AB328" s="542">
        <v>0</v>
      </c>
    </row>
    <row r="329" spans="2:28" ht="15.6">
      <c r="B329" s="184" t="s">
        <v>108</v>
      </c>
      <c r="C329" s="99">
        <v>0</v>
      </c>
      <c r="D329" s="99">
        <v>0</v>
      </c>
      <c r="E329" s="99">
        <v>0</v>
      </c>
      <c r="F329" s="99">
        <v>0</v>
      </c>
      <c r="G329" s="99">
        <v>0</v>
      </c>
      <c r="H329" s="99">
        <v>0</v>
      </c>
      <c r="I329" s="99">
        <v>-6</v>
      </c>
      <c r="J329" s="99">
        <v>187</v>
      </c>
      <c r="K329" s="99">
        <v>170</v>
      </c>
      <c r="L329" s="99">
        <v>154</v>
      </c>
      <c r="M329" s="99">
        <v>137</v>
      </c>
      <c r="N329" s="99">
        <v>121</v>
      </c>
      <c r="O329" s="99">
        <v>122</v>
      </c>
      <c r="P329" s="99">
        <v>104.53037</v>
      </c>
      <c r="Q329" s="99">
        <v>113.761526</v>
      </c>
      <c r="R329" s="99">
        <v>99</v>
      </c>
      <c r="S329" s="99">
        <v>111</v>
      </c>
      <c r="T329" s="99">
        <v>93.051058999999995</v>
      </c>
      <c r="V329" s="184" t="s">
        <v>108</v>
      </c>
      <c r="W329" s="99">
        <v>77.251846</v>
      </c>
      <c r="X329" s="99">
        <v>63.804954000000002</v>
      </c>
      <c r="Y329" s="99">
        <v>69.128833999999998</v>
      </c>
      <c r="Z329" s="99">
        <v>57</v>
      </c>
      <c r="AA329" s="99">
        <v>49.373081999999997</v>
      </c>
      <c r="AB329" s="542">
        <v>87.655990000000003</v>
      </c>
    </row>
    <row r="330" spans="2:28" ht="15.6">
      <c r="B330" s="184" t="s">
        <v>95</v>
      </c>
      <c r="C330" s="99">
        <v>0</v>
      </c>
      <c r="D330" s="99">
        <v>0</v>
      </c>
      <c r="E330" s="99">
        <v>0</v>
      </c>
      <c r="F330" s="99">
        <v>0</v>
      </c>
      <c r="G330" s="99">
        <v>0</v>
      </c>
      <c r="H330" s="99">
        <v>0</v>
      </c>
      <c r="I330" s="99">
        <v>0</v>
      </c>
      <c r="J330" s="99">
        <v>0</v>
      </c>
      <c r="K330" s="99">
        <v>0</v>
      </c>
      <c r="L330" s="99">
        <v>0</v>
      </c>
      <c r="M330" s="99">
        <v>0</v>
      </c>
      <c r="N330" s="99">
        <v>0</v>
      </c>
      <c r="O330" s="99">
        <v>0</v>
      </c>
      <c r="P330" s="99">
        <v>0</v>
      </c>
      <c r="Q330" s="99">
        <v>0</v>
      </c>
      <c r="R330" s="99">
        <v>0</v>
      </c>
      <c r="S330" s="99">
        <v>0</v>
      </c>
      <c r="T330" s="99">
        <v>0</v>
      </c>
      <c r="V330" s="184" t="s">
        <v>95</v>
      </c>
      <c r="W330" s="99">
        <v>0</v>
      </c>
      <c r="X330" s="99">
        <v>0</v>
      </c>
      <c r="Y330" s="99">
        <v>0</v>
      </c>
      <c r="Z330" s="99" t="s">
        <v>1155</v>
      </c>
      <c r="AA330" s="99">
        <v>0</v>
      </c>
      <c r="AB330" s="542">
        <v>0</v>
      </c>
    </row>
    <row r="331" spans="2:28" ht="15">
      <c r="B331" s="167" t="s">
        <v>110</v>
      </c>
      <c r="C331" s="172">
        <v>60993</v>
      </c>
      <c r="D331" s="172">
        <v>53398</v>
      </c>
      <c r="E331" s="172">
        <v>49336</v>
      </c>
      <c r="F331" s="172">
        <v>46555</v>
      </c>
      <c r="G331" s="172">
        <v>41575</v>
      </c>
      <c r="H331" s="172">
        <v>36050</v>
      </c>
      <c r="I331" s="172">
        <v>34901</v>
      </c>
      <c r="J331" s="172">
        <v>32402</v>
      </c>
      <c r="K331" s="172">
        <v>27678</v>
      </c>
      <c r="L331" s="172">
        <v>23198</v>
      </c>
      <c r="M331" s="172">
        <v>20273</v>
      </c>
      <c r="N331" s="172">
        <v>19846</v>
      </c>
      <c r="O331" s="172">
        <v>16330</v>
      </c>
      <c r="P331" s="172">
        <f>SUM(P318:P330)</f>
        <v>10572.709472</v>
      </c>
      <c r="Q331" s="172">
        <f>SUM(Q318:Q330)</f>
        <v>5478.375379000001</v>
      </c>
      <c r="R331" s="172">
        <v>1544</v>
      </c>
      <c r="S331" s="172">
        <v>265</v>
      </c>
      <c r="T331" s="172">
        <v>228.44641999999999</v>
      </c>
      <c r="V331" s="167" t="s">
        <v>110</v>
      </c>
      <c r="W331" s="543">
        <v>205.263238</v>
      </c>
      <c r="X331" s="543">
        <v>172.61125900000002</v>
      </c>
      <c r="Y331" s="543">
        <v>275.05039299999999</v>
      </c>
      <c r="Z331" s="543">
        <v>356</v>
      </c>
      <c r="AA331" s="543">
        <v>320.36148600000001</v>
      </c>
      <c r="AB331" s="543">
        <v>334.89180299999998</v>
      </c>
    </row>
    <row r="332" spans="2:28" ht="15">
      <c r="B332" s="121" t="s">
        <v>111</v>
      </c>
      <c r="C332" s="171">
        <v>119158</v>
      </c>
      <c r="D332" s="171">
        <v>102433</v>
      </c>
      <c r="E332" s="171">
        <v>100289</v>
      </c>
      <c r="F332" s="171">
        <v>90303</v>
      </c>
      <c r="G332" s="171">
        <v>85196</v>
      </c>
      <c r="H332" s="171">
        <v>88122</v>
      </c>
      <c r="I332" s="171">
        <v>87498</v>
      </c>
      <c r="J332" s="171">
        <v>85713</v>
      </c>
      <c r="K332" s="171">
        <v>77947</v>
      </c>
      <c r="L332" s="171">
        <v>82561</v>
      </c>
      <c r="M332" s="171">
        <v>79266</v>
      </c>
      <c r="N332" s="171">
        <v>80013</v>
      </c>
      <c r="O332" s="171">
        <v>67704</v>
      </c>
      <c r="P332" s="171">
        <f>+P316+P331</f>
        <v>66380.592719000007</v>
      </c>
      <c r="Q332" s="171">
        <f>+Q316+Q331</f>
        <v>62383.802809999994</v>
      </c>
      <c r="R332" s="171">
        <v>56716</v>
      </c>
      <c r="S332" s="171">
        <v>49033</v>
      </c>
      <c r="T332" s="171">
        <v>47993.994243999994</v>
      </c>
      <c r="V332" s="121" t="s">
        <v>111</v>
      </c>
      <c r="W332" s="541">
        <v>47801.741240999996</v>
      </c>
      <c r="X332" s="541">
        <v>52235.885999999999</v>
      </c>
      <c r="Y332" s="171">
        <v>50326.640354999996</v>
      </c>
      <c r="Z332" s="171">
        <v>59013</v>
      </c>
      <c r="AA332" s="171">
        <v>71161.285609999992</v>
      </c>
      <c r="AB332" s="541">
        <v>63678.425722000007</v>
      </c>
    </row>
    <row r="333" spans="2:28" ht="15">
      <c r="B333" s="123"/>
      <c r="C333" s="173"/>
      <c r="D333" s="173"/>
      <c r="E333" s="173"/>
      <c r="F333" s="173"/>
      <c r="G333" s="173"/>
      <c r="H333" s="173"/>
      <c r="I333" s="173"/>
      <c r="J333" s="173"/>
      <c r="K333" s="173"/>
      <c r="L333" s="173"/>
      <c r="M333" s="173"/>
      <c r="N333" s="173"/>
      <c r="O333" s="173"/>
      <c r="V333" s="123"/>
      <c r="W333" s="535"/>
      <c r="X333" s="535"/>
      <c r="Z333" s="535"/>
      <c r="AA333" s="535"/>
      <c r="AB333" s="535"/>
    </row>
    <row r="334" spans="2:28" ht="15">
      <c r="B334" s="174" t="s">
        <v>112</v>
      </c>
      <c r="C334" s="175"/>
      <c r="D334" s="175"/>
      <c r="E334" s="175"/>
      <c r="F334" s="175"/>
      <c r="G334" s="175"/>
      <c r="H334" s="175"/>
      <c r="I334" s="175"/>
      <c r="J334" s="175"/>
      <c r="K334" s="175"/>
      <c r="L334" s="175"/>
      <c r="M334" s="175"/>
      <c r="N334" s="175"/>
      <c r="O334" s="175"/>
      <c r="P334" s="175"/>
      <c r="Q334" s="175"/>
      <c r="R334" s="175"/>
      <c r="S334" s="175"/>
      <c r="T334" s="175"/>
      <c r="V334" s="174" t="s">
        <v>112</v>
      </c>
      <c r="W334" s="547"/>
      <c r="X334" s="547"/>
      <c r="Y334" s="547"/>
      <c r="Z334" s="547"/>
      <c r="AA334" s="547"/>
      <c r="AB334" s="547"/>
    </row>
    <row r="335" spans="2:28" ht="15">
      <c r="B335" s="167" t="s">
        <v>113</v>
      </c>
      <c r="C335" s="176"/>
      <c r="D335" s="176"/>
      <c r="E335" s="176"/>
      <c r="F335" s="176"/>
      <c r="G335" s="176"/>
      <c r="H335" s="176"/>
      <c r="I335" s="176"/>
      <c r="J335" s="176"/>
      <c r="K335" s="176"/>
      <c r="L335" s="176"/>
      <c r="M335" s="176"/>
      <c r="N335" s="176"/>
      <c r="O335" s="176"/>
      <c r="P335" s="176"/>
      <c r="Q335" s="176"/>
      <c r="R335" s="176"/>
      <c r="S335" s="176"/>
      <c r="T335" s="176"/>
      <c r="V335" s="167" t="s">
        <v>113</v>
      </c>
      <c r="W335" s="548"/>
      <c r="X335" s="548"/>
      <c r="Y335" s="548"/>
      <c r="Z335" s="548"/>
      <c r="AA335" s="548"/>
      <c r="AB335" s="548"/>
    </row>
    <row r="336" spans="2:28" ht="15.6">
      <c r="B336" s="184" t="s">
        <v>114</v>
      </c>
      <c r="C336" s="99">
        <v>20132</v>
      </c>
      <c r="D336" s="99">
        <v>9900</v>
      </c>
      <c r="E336" s="99">
        <v>9414</v>
      </c>
      <c r="F336" s="99">
        <v>9935</v>
      </c>
      <c r="G336" s="99">
        <v>10072</v>
      </c>
      <c r="H336" s="99">
        <v>10556</v>
      </c>
      <c r="I336" s="99">
        <v>12512</v>
      </c>
      <c r="J336" s="99">
        <v>13982</v>
      </c>
      <c r="K336" s="99">
        <v>14140</v>
      </c>
      <c r="L336" s="99">
        <v>11925</v>
      </c>
      <c r="M336" s="99">
        <v>11868</v>
      </c>
      <c r="N336" s="99">
        <v>12247</v>
      </c>
      <c r="O336" s="99">
        <v>12833</v>
      </c>
      <c r="P336" s="99">
        <v>13142.165004</v>
      </c>
      <c r="Q336" s="99">
        <v>12788.459242000001</v>
      </c>
      <c r="R336" s="99">
        <v>12926</v>
      </c>
      <c r="S336" s="99">
        <v>11979</v>
      </c>
      <c r="T336" s="99">
        <v>17165.356041999999</v>
      </c>
      <c r="V336" s="184" t="s">
        <v>114</v>
      </c>
      <c r="W336" s="99">
        <v>12114.306224</v>
      </c>
      <c r="X336" s="99">
        <v>12633.277212000001</v>
      </c>
      <c r="Y336" s="99">
        <v>5904.7611989999996</v>
      </c>
      <c r="Z336" s="99">
        <v>9037</v>
      </c>
      <c r="AA336" s="99">
        <v>20316.334832</v>
      </c>
      <c r="AB336" s="542">
        <v>25847.570683000002</v>
      </c>
    </row>
    <row r="337" spans="2:28" ht="15.6">
      <c r="B337" s="184" t="s">
        <v>115</v>
      </c>
      <c r="C337" s="99">
        <v>1111</v>
      </c>
      <c r="D337" s="99">
        <v>1391</v>
      </c>
      <c r="E337" s="99">
        <v>1181</v>
      </c>
      <c r="F337" s="99">
        <v>1409</v>
      </c>
      <c r="G337" s="99">
        <v>699</v>
      </c>
      <c r="H337" s="99">
        <v>1646</v>
      </c>
      <c r="I337" s="99">
        <v>1406</v>
      </c>
      <c r="J337" s="99">
        <v>2005</v>
      </c>
      <c r="K337" s="99">
        <v>811</v>
      </c>
      <c r="L337" s="99">
        <v>2416</v>
      </c>
      <c r="M337" s="99">
        <v>3039</v>
      </c>
      <c r="N337" s="99">
        <v>1702</v>
      </c>
      <c r="O337" s="99">
        <v>1497</v>
      </c>
      <c r="P337" s="99">
        <v>2702.855693</v>
      </c>
      <c r="Q337" s="99">
        <f>3592.262036-1.458163</f>
        <v>3590.8038730000003</v>
      </c>
      <c r="R337" s="99">
        <v>1806</v>
      </c>
      <c r="S337" s="99">
        <v>1951</v>
      </c>
      <c r="T337" s="99">
        <v>3057.4217720000001</v>
      </c>
      <c r="V337" s="184" t="s">
        <v>115</v>
      </c>
      <c r="W337" s="99">
        <v>6128.5586739999999</v>
      </c>
      <c r="X337" s="99">
        <v>7334.3334029999996</v>
      </c>
      <c r="Y337" s="99">
        <v>6713.767699</v>
      </c>
      <c r="Z337" s="99">
        <v>11750</v>
      </c>
      <c r="AA337" s="99">
        <v>8101.6759430000002</v>
      </c>
      <c r="AB337" s="542">
        <v>3212.1590820000001</v>
      </c>
    </row>
    <row r="338" spans="2:28" ht="15.6">
      <c r="B338" s="184" t="s">
        <v>117</v>
      </c>
      <c r="C338" s="99">
        <v>25</v>
      </c>
      <c r="D338" s="99">
        <v>27</v>
      </c>
      <c r="E338" s="99">
        <v>29</v>
      </c>
      <c r="F338" s="99">
        <v>25</v>
      </c>
      <c r="G338" s="99">
        <v>25</v>
      </c>
      <c r="H338" s="99">
        <v>20</v>
      </c>
      <c r="I338" s="99">
        <v>18</v>
      </c>
      <c r="J338" s="99">
        <v>20</v>
      </c>
      <c r="K338" s="99">
        <v>22</v>
      </c>
      <c r="L338" s="99">
        <v>22</v>
      </c>
      <c r="M338" s="99">
        <v>20</v>
      </c>
      <c r="N338" s="99">
        <v>24</v>
      </c>
      <c r="O338" s="99">
        <v>28</v>
      </c>
      <c r="P338" s="99">
        <v>27.7438</v>
      </c>
      <c r="Q338" s="99">
        <v>25.718830000000001</v>
      </c>
      <c r="R338" s="99">
        <v>27</v>
      </c>
      <c r="S338" s="99">
        <v>28</v>
      </c>
      <c r="T338" s="99">
        <v>70.720622000000006</v>
      </c>
      <c r="V338" s="184" t="s">
        <v>117</v>
      </c>
      <c r="W338" s="99">
        <v>22.854851</v>
      </c>
      <c r="X338" s="99">
        <v>21.778455000000001</v>
      </c>
      <c r="Y338" s="99">
        <v>25.045304000000002</v>
      </c>
      <c r="Z338" s="99">
        <v>27</v>
      </c>
      <c r="AA338" s="99">
        <v>28.117654999999999</v>
      </c>
      <c r="AB338" s="542">
        <v>29.449531</v>
      </c>
    </row>
    <row r="339" spans="2:28" ht="15.6">
      <c r="B339" s="184" t="s">
        <v>92</v>
      </c>
      <c r="C339" s="99">
        <v>0</v>
      </c>
      <c r="D339" s="99">
        <v>4053</v>
      </c>
      <c r="E339" s="99">
        <v>5426</v>
      </c>
      <c r="F339" s="99">
        <v>2598</v>
      </c>
      <c r="G339" s="99">
        <v>3834</v>
      </c>
      <c r="H339" s="99">
        <v>5005</v>
      </c>
      <c r="I339" s="99">
        <v>6448</v>
      </c>
      <c r="J339" s="99">
        <v>2898</v>
      </c>
      <c r="K339" s="99">
        <v>4361</v>
      </c>
      <c r="L339" s="99">
        <v>6422</v>
      </c>
      <c r="M339" s="99">
        <v>7575</v>
      </c>
      <c r="N339" s="99">
        <v>8241</v>
      </c>
      <c r="O339" s="99">
        <v>3508</v>
      </c>
      <c r="P339" s="99">
        <v>4053.0872460000001</v>
      </c>
      <c r="Q339" s="99">
        <f>5281.759509+1.458163</f>
        <v>5283.2176720000007</v>
      </c>
      <c r="R339" s="99">
        <v>3008</v>
      </c>
      <c r="S339" s="99">
        <v>4769</v>
      </c>
      <c r="T339" s="99">
        <v>2098.483956</v>
      </c>
      <c r="V339" s="184" t="s">
        <v>92</v>
      </c>
      <c r="W339" s="99">
        <v>563.84482600000001</v>
      </c>
      <c r="X339" s="99">
        <v>234.23590300000001</v>
      </c>
      <c r="Y339" s="99">
        <v>176.206129</v>
      </c>
      <c r="Z339" s="99">
        <v>-1282</v>
      </c>
      <c r="AA339" s="99">
        <v>0</v>
      </c>
      <c r="AB339" s="542">
        <v>4527.3013719999999</v>
      </c>
    </row>
    <row r="340" spans="2:28" ht="15.6">
      <c r="B340" s="184" t="s">
        <v>118</v>
      </c>
      <c r="C340" s="99">
        <v>3191</v>
      </c>
      <c r="D340" s="99">
        <v>2236</v>
      </c>
      <c r="E340" s="99">
        <v>1829</v>
      </c>
      <c r="F340" s="99">
        <v>0</v>
      </c>
      <c r="G340" s="99">
        <v>66</v>
      </c>
      <c r="H340" s="99">
        <v>1379</v>
      </c>
      <c r="I340" s="99">
        <v>955</v>
      </c>
      <c r="J340" s="99">
        <v>431</v>
      </c>
      <c r="K340" s="99">
        <v>280</v>
      </c>
      <c r="L340" s="99">
        <v>758</v>
      </c>
      <c r="M340" s="99">
        <v>140</v>
      </c>
      <c r="N340" s="99">
        <v>140</v>
      </c>
      <c r="O340" s="99">
        <v>108</v>
      </c>
      <c r="P340" s="99">
        <v>257.05323099999998</v>
      </c>
      <c r="Q340" s="99">
        <v>93.480264000000005</v>
      </c>
      <c r="R340" s="99">
        <v>21</v>
      </c>
      <c r="S340" s="99">
        <v>36</v>
      </c>
      <c r="T340" s="99">
        <v>202.369111</v>
      </c>
      <c r="V340" s="184" t="s">
        <v>118</v>
      </c>
      <c r="W340" s="99">
        <v>628.80564100000004</v>
      </c>
      <c r="X340" s="99">
        <v>1292.828348</v>
      </c>
      <c r="Y340" s="99">
        <v>2009.4154209999999</v>
      </c>
      <c r="Z340" s="99">
        <v>2672</v>
      </c>
      <c r="AA340" s="99">
        <v>3791.6099399999998</v>
      </c>
      <c r="AB340" s="542">
        <v>1298.022727</v>
      </c>
    </row>
    <row r="341" spans="2:28" ht="15.6">
      <c r="B341" s="184" t="s">
        <v>116</v>
      </c>
      <c r="C341" s="99">
        <v>72</v>
      </c>
      <c r="D341" s="99">
        <v>124</v>
      </c>
      <c r="E341" s="99">
        <v>84</v>
      </c>
      <c r="F341" s="99">
        <v>96</v>
      </c>
      <c r="G341" s="99">
        <v>117</v>
      </c>
      <c r="H341" s="99">
        <v>127</v>
      </c>
      <c r="I341" s="99">
        <v>84</v>
      </c>
      <c r="J341" s="99">
        <v>2593</v>
      </c>
      <c r="K341" s="99">
        <v>104</v>
      </c>
      <c r="L341" s="99">
        <v>1497</v>
      </c>
      <c r="M341" s="99">
        <v>1463</v>
      </c>
      <c r="N341" s="99">
        <v>96</v>
      </c>
      <c r="O341" s="99">
        <v>106</v>
      </c>
      <c r="P341" s="99">
        <v>538.99136799999997</v>
      </c>
      <c r="Q341" s="99">
        <v>508.37379099999998</v>
      </c>
      <c r="R341" s="99">
        <v>100</v>
      </c>
      <c r="S341" s="99">
        <v>139</v>
      </c>
      <c r="T341" s="99">
        <v>1118.1063429999999</v>
      </c>
      <c r="V341" s="184" t="s">
        <v>116</v>
      </c>
      <c r="W341" s="99">
        <v>1043.770372</v>
      </c>
      <c r="X341" s="99">
        <v>150.36559199999999</v>
      </c>
      <c r="Y341" s="99">
        <v>186.95741100000001</v>
      </c>
      <c r="Z341" s="99">
        <v>2554</v>
      </c>
      <c r="AA341" s="99">
        <v>2433.814809</v>
      </c>
      <c r="AB341" s="542">
        <v>162.03998000000001</v>
      </c>
    </row>
    <row r="342" spans="2:28" ht="15.6">
      <c r="B342" s="184" t="s">
        <v>119</v>
      </c>
      <c r="C342" s="99">
        <v>569</v>
      </c>
      <c r="D342" s="99">
        <v>0</v>
      </c>
      <c r="E342" s="99">
        <v>0</v>
      </c>
      <c r="F342" s="99">
        <v>0</v>
      </c>
      <c r="G342" s="99">
        <v>0</v>
      </c>
      <c r="H342" s="99">
        <v>0</v>
      </c>
      <c r="I342" s="99">
        <v>0</v>
      </c>
      <c r="J342" s="99">
        <v>0</v>
      </c>
      <c r="K342" s="99">
        <v>0</v>
      </c>
      <c r="L342" s="99">
        <v>0</v>
      </c>
      <c r="M342" s="99">
        <v>0</v>
      </c>
      <c r="N342" s="99">
        <v>0</v>
      </c>
      <c r="O342" s="99">
        <v>0</v>
      </c>
      <c r="P342" s="99">
        <v>0</v>
      </c>
      <c r="Q342" s="99">
        <v>0</v>
      </c>
      <c r="R342" s="99">
        <v>0</v>
      </c>
      <c r="S342" s="99">
        <v>0</v>
      </c>
      <c r="T342" s="99">
        <v>0</v>
      </c>
      <c r="V342" s="184" t="s">
        <v>119</v>
      </c>
      <c r="W342" s="99">
        <v>0</v>
      </c>
      <c r="X342" s="99">
        <v>0</v>
      </c>
      <c r="Y342" s="99">
        <v>0</v>
      </c>
      <c r="Z342" s="99">
        <v>334</v>
      </c>
      <c r="AA342" s="99">
        <v>0</v>
      </c>
      <c r="AB342" s="542">
        <v>0</v>
      </c>
    </row>
    <row r="343" spans="2:28" ht="15.6">
      <c r="B343" s="184" t="s">
        <v>152</v>
      </c>
      <c r="C343" s="99">
        <v>0</v>
      </c>
      <c r="D343" s="99">
        <v>0</v>
      </c>
      <c r="E343" s="99">
        <v>0</v>
      </c>
      <c r="F343" s="99">
        <v>0</v>
      </c>
      <c r="G343" s="99">
        <v>0</v>
      </c>
      <c r="H343" s="99">
        <v>0</v>
      </c>
      <c r="I343" s="99">
        <v>0</v>
      </c>
      <c r="J343" s="99">
        <v>0</v>
      </c>
      <c r="K343" s="99">
        <v>0</v>
      </c>
      <c r="L343" s="99">
        <v>0</v>
      </c>
      <c r="M343" s="99">
        <v>0</v>
      </c>
      <c r="N343" s="99">
        <v>0</v>
      </c>
      <c r="O343" s="99">
        <v>0</v>
      </c>
      <c r="P343" s="99">
        <v>0</v>
      </c>
      <c r="Q343" s="99">
        <v>0</v>
      </c>
      <c r="R343" s="99">
        <v>0</v>
      </c>
      <c r="S343" s="99">
        <v>0</v>
      </c>
      <c r="T343" s="99">
        <v>0</v>
      </c>
      <c r="V343" s="184" t="s">
        <v>152</v>
      </c>
      <c r="W343" s="99">
        <v>0</v>
      </c>
      <c r="X343" s="99">
        <v>0</v>
      </c>
      <c r="Y343" s="99">
        <v>0</v>
      </c>
      <c r="Z343" s="99" t="s">
        <v>1155</v>
      </c>
      <c r="AA343" s="99">
        <v>0</v>
      </c>
      <c r="AB343" s="542">
        <v>0</v>
      </c>
    </row>
    <row r="344" spans="2:28" ht="15">
      <c r="B344" s="167" t="s">
        <v>121</v>
      </c>
      <c r="C344" s="172">
        <v>25100</v>
      </c>
      <c r="D344" s="172">
        <v>17731</v>
      </c>
      <c r="E344" s="172">
        <v>17963</v>
      </c>
      <c r="F344" s="172">
        <v>14063</v>
      </c>
      <c r="G344" s="172">
        <v>14813</v>
      </c>
      <c r="H344" s="172">
        <v>18733</v>
      </c>
      <c r="I344" s="172">
        <v>21423</v>
      </c>
      <c r="J344" s="172">
        <v>21929</v>
      </c>
      <c r="K344" s="172">
        <v>19718</v>
      </c>
      <c r="L344" s="172">
        <v>23040</v>
      </c>
      <c r="M344" s="172">
        <v>24105</v>
      </c>
      <c r="N344" s="172">
        <v>22450</v>
      </c>
      <c r="O344" s="172">
        <v>18080</v>
      </c>
      <c r="P344" s="172">
        <f>SUM(P336:P343)</f>
        <v>20721.896342</v>
      </c>
      <c r="Q344" s="172">
        <f>SUM(Q336:Q343)</f>
        <v>22290.053672000009</v>
      </c>
      <c r="R344" s="172">
        <v>17888</v>
      </c>
      <c r="S344" s="172">
        <v>18902</v>
      </c>
      <c r="T344" s="172">
        <v>23712.457846000001</v>
      </c>
      <c r="V344" s="167" t="s">
        <v>121</v>
      </c>
      <c r="W344" s="543">
        <v>20502.140587999998</v>
      </c>
      <c r="X344" s="543">
        <v>21666.818912999999</v>
      </c>
      <c r="Y344" s="543">
        <v>15016.153162999999</v>
      </c>
      <c r="Z344" s="543">
        <v>25090</v>
      </c>
      <c r="AA344" s="543">
        <v>34671.553179000002</v>
      </c>
      <c r="AB344" s="543">
        <v>35076.543375000008</v>
      </c>
    </row>
    <row r="345" spans="2:28" ht="15">
      <c r="B345" s="177" t="s">
        <v>122</v>
      </c>
      <c r="C345" s="178"/>
      <c r="D345" s="178"/>
      <c r="E345" s="178"/>
      <c r="F345" s="178"/>
      <c r="G345" s="178"/>
      <c r="H345" s="178"/>
      <c r="I345" s="178"/>
      <c r="J345" s="178"/>
      <c r="K345" s="178"/>
      <c r="L345" s="178"/>
      <c r="M345" s="178"/>
      <c r="N345" s="178"/>
      <c r="O345" s="178"/>
      <c r="P345" s="178"/>
      <c r="Q345" s="178"/>
      <c r="R345" s="178"/>
      <c r="S345" s="178"/>
      <c r="T345" s="178"/>
      <c r="V345" s="177" t="s">
        <v>122</v>
      </c>
      <c r="W345" s="544"/>
      <c r="X345" s="544"/>
      <c r="Y345" s="544"/>
      <c r="Z345" s="544"/>
      <c r="AA345" s="544"/>
      <c r="AB345" s="544"/>
    </row>
    <row r="346" spans="2:28" ht="15.6">
      <c r="B346" s="184" t="s">
        <v>114</v>
      </c>
      <c r="C346" s="99">
        <v>46896</v>
      </c>
      <c r="D346" s="99">
        <v>39599</v>
      </c>
      <c r="E346" s="99">
        <v>36378</v>
      </c>
      <c r="F346" s="99">
        <v>36685</v>
      </c>
      <c r="G346" s="99">
        <v>30663</v>
      </c>
      <c r="H346" s="99">
        <v>30914</v>
      </c>
      <c r="I346" s="99">
        <v>33681</v>
      </c>
      <c r="J346" s="99">
        <v>33751</v>
      </c>
      <c r="K346" s="99">
        <v>27483</v>
      </c>
      <c r="L346" s="99">
        <v>30216</v>
      </c>
      <c r="M346" s="99">
        <v>25453</v>
      </c>
      <c r="N346" s="99">
        <v>25681</v>
      </c>
      <c r="O346" s="99">
        <v>18268</v>
      </c>
      <c r="P346" s="99">
        <v>18591.780223000002</v>
      </c>
      <c r="Q346" s="99">
        <v>13874.242792999999</v>
      </c>
      <c r="R346" s="99">
        <v>14219</v>
      </c>
      <c r="S346" s="99">
        <v>7207</v>
      </c>
      <c r="T346" s="99">
        <v>1526.1915349999999</v>
      </c>
      <c r="V346" s="184" t="s">
        <v>114</v>
      </c>
      <c r="W346" s="99">
        <v>2985.8829639999999</v>
      </c>
      <c r="X346" s="99">
        <v>8159.7021400000003</v>
      </c>
      <c r="Y346" s="99">
        <v>10296.501383000001</v>
      </c>
      <c r="Z346" s="99">
        <v>10446</v>
      </c>
      <c r="AA346" s="99">
        <v>10177.217545</v>
      </c>
      <c r="AB346" s="542">
        <v>10687.321075</v>
      </c>
    </row>
    <row r="347" spans="2:28" ht="15.6">
      <c r="B347" s="184" t="s">
        <v>115</v>
      </c>
      <c r="C347" s="99">
        <v>0</v>
      </c>
      <c r="D347" s="99">
        <v>0</v>
      </c>
      <c r="E347" s="99">
        <v>0</v>
      </c>
      <c r="F347" s="99">
        <v>0</v>
      </c>
      <c r="G347" s="99">
        <v>0</v>
      </c>
      <c r="H347" s="99">
        <v>0</v>
      </c>
      <c r="I347" s="99">
        <v>0</v>
      </c>
      <c r="J347" s="99">
        <v>124</v>
      </c>
      <c r="K347" s="99">
        <v>112</v>
      </c>
      <c r="L347" s="99">
        <v>94</v>
      </c>
      <c r="M347" s="99">
        <v>77</v>
      </c>
      <c r="N347" s="99">
        <v>65</v>
      </c>
      <c r="O347" s="99">
        <v>55</v>
      </c>
      <c r="P347" s="99">
        <v>43.459302999999998</v>
      </c>
      <c r="Q347" s="99">
        <v>42.813394000000002</v>
      </c>
      <c r="R347" s="99">
        <v>40</v>
      </c>
      <c r="S347" s="99">
        <v>48</v>
      </c>
      <c r="T347" s="99">
        <v>38.684803000000002</v>
      </c>
      <c r="V347" s="184" t="s">
        <v>115</v>
      </c>
      <c r="W347" s="99">
        <v>30.512238</v>
      </c>
      <c r="X347" s="99">
        <v>25.281797999999998</v>
      </c>
      <c r="Y347" s="99">
        <v>37.244003999999997</v>
      </c>
      <c r="Z347" s="99">
        <v>33</v>
      </c>
      <c r="AA347" s="99">
        <v>36.730727000000002</v>
      </c>
      <c r="AB347" s="542">
        <v>44.473424999999999</v>
      </c>
    </row>
    <row r="348" spans="2:28" ht="15.6">
      <c r="B348" s="184" t="s">
        <v>123</v>
      </c>
      <c r="C348" s="99">
        <v>0</v>
      </c>
      <c r="D348" s="99">
        <v>0</v>
      </c>
      <c r="E348" s="99">
        <v>0</v>
      </c>
      <c r="F348" s="99">
        <v>0</v>
      </c>
      <c r="G348" s="99">
        <v>0</v>
      </c>
      <c r="H348" s="99">
        <v>0</v>
      </c>
      <c r="I348" s="99">
        <v>0</v>
      </c>
      <c r="J348" s="99">
        <v>0</v>
      </c>
      <c r="K348" s="99">
        <v>0</v>
      </c>
      <c r="L348" s="99">
        <v>0</v>
      </c>
      <c r="M348" s="99">
        <v>0</v>
      </c>
      <c r="N348" s="99">
        <v>0</v>
      </c>
      <c r="O348" s="99">
        <v>0</v>
      </c>
      <c r="P348" s="99">
        <v>0</v>
      </c>
      <c r="Q348" s="99">
        <v>0</v>
      </c>
      <c r="R348" s="99">
        <v>0</v>
      </c>
      <c r="S348" s="99">
        <v>0</v>
      </c>
      <c r="T348" s="99">
        <v>0</v>
      </c>
      <c r="V348" s="184" t="s">
        <v>123</v>
      </c>
      <c r="W348" s="99">
        <v>0</v>
      </c>
      <c r="X348" s="99">
        <v>0</v>
      </c>
      <c r="Y348" s="99">
        <v>0</v>
      </c>
      <c r="Z348" s="99" t="s">
        <v>1155</v>
      </c>
      <c r="AA348" s="99">
        <v>0</v>
      </c>
      <c r="AB348" s="542">
        <v>0</v>
      </c>
    </row>
    <row r="349" spans="2:28" ht="15.6">
      <c r="B349" s="184" t="s">
        <v>117</v>
      </c>
      <c r="C349" s="99">
        <v>0</v>
      </c>
      <c r="D349" s="99">
        <v>0</v>
      </c>
      <c r="E349" s="99">
        <v>0</v>
      </c>
      <c r="F349" s="99">
        <v>0</v>
      </c>
      <c r="G349" s="99">
        <v>0</v>
      </c>
      <c r="H349" s="99">
        <v>0</v>
      </c>
      <c r="I349" s="99">
        <v>0</v>
      </c>
      <c r="J349" s="99">
        <v>0</v>
      </c>
      <c r="K349" s="99">
        <v>0</v>
      </c>
      <c r="L349" s="99">
        <v>0</v>
      </c>
      <c r="M349" s="99">
        <v>0</v>
      </c>
      <c r="N349" s="99">
        <v>0</v>
      </c>
      <c r="O349" s="99">
        <v>0</v>
      </c>
      <c r="P349" s="99">
        <v>0</v>
      </c>
      <c r="Q349" s="99">
        <v>0</v>
      </c>
      <c r="R349" s="99">
        <v>0</v>
      </c>
      <c r="S349" s="99">
        <v>0</v>
      </c>
      <c r="T349" s="99">
        <v>0</v>
      </c>
      <c r="V349" s="184" t="s">
        <v>117</v>
      </c>
      <c r="W349" s="99">
        <v>0</v>
      </c>
      <c r="X349" s="99">
        <v>0</v>
      </c>
      <c r="Y349" s="99">
        <v>0</v>
      </c>
      <c r="Z349" s="99" t="s">
        <v>1155</v>
      </c>
      <c r="AA349" s="99">
        <v>0</v>
      </c>
      <c r="AB349" s="542">
        <v>0</v>
      </c>
    </row>
    <row r="350" spans="2:28" ht="15.6">
      <c r="B350" s="184" t="s">
        <v>118</v>
      </c>
      <c r="C350" s="99">
        <v>0</v>
      </c>
      <c r="D350" s="99">
        <v>0</v>
      </c>
      <c r="E350" s="99">
        <v>0</v>
      </c>
      <c r="F350" s="99">
        <v>0</v>
      </c>
      <c r="G350" s="99">
        <v>0</v>
      </c>
      <c r="H350" s="99">
        <v>0</v>
      </c>
      <c r="I350" s="99">
        <v>0</v>
      </c>
      <c r="J350" s="99">
        <v>0</v>
      </c>
      <c r="K350" s="99">
        <v>0</v>
      </c>
      <c r="L350" s="99">
        <v>0</v>
      </c>
      <c r="M350" s="99">
        <v>0</v>
      </c>
      <c r="N350" s="99">
        <v>0</v>
      </c>
      <c r="O350" s="99">
        <v>0</v>
      </c>
      <c r="P350" s="99">
        <v>0</v>
      </c>
      <c r="Q350" s="99">
        <v>0</v>
      </c>
      <c r="R350" s="99">
        <v>0</v>
      </c>
      <c r="S350" s="99">
        <v>0</v>
      </c>
      <c r="T350" s="99">
        <v>0</v>
      </c>
      <c r="V350" s="184" t="s">
        <v>118</v>
      </c>
      <c r="W350" s="99">
        <v>0</v>
      </c>
      <c r="X350" s="99">
        <v>0</v>
      </c>
      <c r="Y350" s="99">
        <v>0</v>
      </c>
      <c r="Z350" s="99" t="s">
        <v>1155</v>
      </c>
      <c r="AA350" s="99">
        <v>0</v>
      </c>
      <c r="AB350" s="542">
        <v>0</v>
      </c>
    </row>
    <row r="351" spans="2:28" ht="15.6">
      <c r="B351" s="184" t="s">
        <v>119</v>
      </c>
      <c r="C351" s="99">
        <v>0</v>
      </c>
      <c r="D351" s="99">
        <v>0</v>
      </c>
      <c r="E351" s="99">
        <v>0</v>
      </c>
      <c r="F351" s="99">
        <v>0</v>
      </c>
      <c r="G351" s="99">
        <v>0</v>
      </c>
      <c r="H351" s="99">
        <v>0</v>
      </c>
      <c r="I351" s="99">
        <v>0</v>
      </c>
      <c r="J351" s="99">
        <v>0</v>
      </c>
      <c r="K351" s="99">
        <v>0</v>
      </c>
      <c r="L351" s="99">
        <v>0</v>
      </c>
      <c r="M351" s="99">
        <v>0</v>
      </c>
      <c r="N351" s="99">
        <v>0</v>
      </c>
      <c r="O351" s="99">
        <v>0</v>
      </c>
      <c r="P351" s="99">
        <v>0</v>
      </c>
      <c r="Q351" s="99">
        <v>0</v>
      </c>
      <c r="R351" s="99">
        <v>0</v>
      </c>
      <c r="S351" s="99">
        <v>0</v>
      </c>
      <c r="T351" s="99">
        <v>0</v>
      </c>
      <c r="V351" s="184" t="s">
        <v>119</v>
      </c>
      <c r="W351" s="99">
        <v>0</v>
      </c>
      <c r="X351" s="99">
        <v>0</v>
      </c>
      <c r="Y351" s="99">
        <v>0</v>
      </c>
      <c r="Z351" s="99" t="s">
        <v>1155</v>
      </c>
      <c r="AA351" s="99">
        <v>0</v>
      </c>
      <c r="AB351" s="542">
        <v>0</v>
      </c>
    </row>
    <row r="352" spans="2:28" ht="15.6">
      <c r="B352" s="184" t="s">
        <v>153</v>
      </c>
      <c r="C352" s="99">
        <v>23228</v>
      </c>
      <c r="D352" s="99">
        <v>21494</v>
      </c>
      <c r="E352" s="99">
        <v>20755</v>
      </c>
      <c r="F352" s="99">
        <v>20101</v>
      </c>
      <c r="G352" s="99">
        <v>19300</v>
      </c>
      <c r="H352" s="99">
        <v>18450</v>
      </c>
      <c r="I352" s="99">
        <v>17573</v>
      </c>
      <c r="J352" s="99">
        <v>16958</v>
      </c>
      <c r="K352" s="99">
        <v>16174</v>
      </c>
      <c r="L352" s="99">
        <v>15043</v>
      </c>
      <c r="M352" s="99">
        <v>14115</v>
      </c>
      <c r="N352" s="99">
        <v>13618</v>
      </c>
      <c r="O352" s="99">
        <v>12787</v>
      </c>
      <c r="P352" s="99">
        <v>12047.511995999999</v>
      </c>
      <c r="Q352" s="99">
        <v>10866.412129</v>
      </c>
      <c r="R352" s="99">
        <v>9641</v>
      </c>
      <c r="S352" s="99">
        <v>7216</v>
      </c>
      <c r="T352" s="99">
        <v>6488.8747430000003</v>
      </c>
      <c r="V352" s="184" t="s">
        <v>153</v>
      </c>
      <c r="W352" s="99">
        <v>6914.3437469999999</v>
      </c>
      <c r="X352" s="99">
        <v>4758.6491880000003</v>
      </c>
      <c r="Y352" s="99">
        <v>4259.6410519999999</v>
      </c>
      <c r="Z352" s="99">
        <v>1660</v>
      </c>
      <c r="AA352" s="99">
        <v>1818.3273019999999</v>
      </c>
      <c r="AB352" s="542">
        <v>148.522064</v>
      </c>
    </row>
    <row r="353" spans="2:28" ht="15">
      <c r="B353" s="167" t="s">
        <v>124</v>
      </c>
      <c r="C353" s="172">
        <v>70124</v>
      </c>
      <c r="D353" s="172">
        <v>61093</v>
      </c>
      <c r="E353" s="172">
        <v>57133</v>
      </c>
      <c r="F353" s="172">
        <v>56786</v>
      </c>
      <c r="G353" s="172">
        <v>49963</v>
      </c>
      <c r="H353" s="172">
        <v>49364</v>
      </c>
      <c r="I353" s="172">
        <v>51254</v>
      </c>
      <c r="J353" s="172">
        <v>50833</v>
      </c>
      <c r="K353" s="172">
        <v>43769</v>
      </c>
      <c r="L353" s="172">
        <v>45353</v>
      </c>
      <c r="M353" s="172">
        <v>39645</v>
      </c>
      <c r="N353" s="172">
        <v>39364</v>
      </c>
      <c r="O353" s="172">
        <v>31110</v>
      </c>
      <c r="P353" s="172">
        <f>SUM(P346:P352)</f>
        <v>30682.751521999999</v>
      </c>
      <c r="Q353" s="172">
        <f>SUM(Q346:Q352)</f>
        <v>24783.468315999999</v>
      </c>
      <c r="R353" s="172">
        <v>23900</v>
      </c>
      <c r="S353" s="172">
        <v>14471</v>
      </c>
      <c r="T353" s="172">
        <v>8053.7510810000003</v>
      </c>
      <c r="V353" s="167" t="s">
        <v>124</v>
      </c>
      <c r="W353" s="543">
        <v>9930.7389489999987</v>
      </c>
      <c r="X353" s="543">
        <v>12943.633126000001</v>
      </c>
      <c r="Y353" s="543">
        <v>14593.386439000002</v>
      </c>
      <c r="Z353" s="543">
        <v>12140</v>
      </c>
      <c r="AA353" s="543">
        <v>12032.275573999999</v>
      </c>
      <c r="AB353" s="543">
        <v>10880.316564000001</v>
      </c>
    </row>
    <row r="354" spans="2:28" ht="15">
      <c r="B354" s="121" t="s">
        <v>125</v>
      </c>
      <c r="C354" s="171">
        <v>95224</v>
      </c>
      <c r="D354" s="171">
        <v>78824</v>
      </c>
      <c r="E354" s="171">
        <v>75096</v>
      </c>
      <c r="F354" s="171">
        <v>70849</v>
      </c>
      <c r="G354" s="171">
        <v>64776</v>
      </c>
      <c r="H354" s="171">
        <v>68097</v>
      </c>
      <c r="I354" s="171">
        <v>72677</v>
      </c>
      <c r="J354" s="171">
        <v>72762</v>
      </c>
      <c r="K354" s="171">
        <v>63487</v>
      </c>
      <c r="L354" s="171">
        <v>68393</v>
      </c>
      <c r="M354" s="171">
        <v>63750</v>
      </c>
      <c r="N354" s="171">
        <v>61814</v>
      </c>
      <c r="O354" s="171">
        <v>49190</v>
      </c>
      <c r="P354" s="171">
        <f>+P344+P353</f>
        <v>51404.647863999999</v>
      </c>
      <c r="Q354" s="171">
        <f>+Q344+Q353</f>
        <v>47073.521988000008</v>
      </c>
      <c r="R354" s="171">
        <v>41788</v>
      </c>
      <c r="S354" s="171">
        <v>33373</v>
      </c>
      <c r="T354" s="171">
        <v>31766.208927</v>
      </c>
      <c r="V354" s="121" t="s">
        <v>125</v>
      </c>
      <c r="W354" s="541">
        <v>30432.879536999997</v>
      </c>
      <c r="X354" s="541">
        <v>34610.452038999996</v>
      </c>
      <c r="Y354" s="541">
        <v>29609.539602000001</v>
      </c>
      <c r="Z354" s="541">
        <v>37230</v>
      </c>
      <c r="AA354" s="541">
        <v>46703.828753000002</v>
      </c>
      <c r="AB354" s="541">
        <v>45956.859939000009</v>
      </c>
    </row>
    <row r="355" spans="2:28" ht="15">
      <c r="B355" s="123"/>
      <c r="C355" s="173"/>
      <c r="D355" s="173"/>
      <c r="E355" s="173"/>
      <c r="F355" s="173"/>
      <c r="G355" s="173"/>
      <c r="H355" s="173"/>
      <c r="I355" s="173"/>
      <c r="J355" s="173"/>
      <c r="K355" s="173"/>
      <c r="L355" s="173"/>
      <c r="M355" s="173"/>
      <c r="N355" s="173"/>
      <c r="O355" s="173"/>
      <c r="P355" s="173"/>
      <c r="Q355" s="173"/>
      <c r="R355" s="173"/>
      <c r="S355" s="173">
        <v>0</v>
      </c>
      <c r="T355" s="173"/>
      <c r="V355" s="123"/>
      <c r="W355" s="545"/>
      <c r="X355" s="545">
        <v>0</v>
      </c>
      <c r="Y355" s="545"/>
      <c r="Z355" s="545"/>
      <c r="AA355" s="545"/>
      <c r="AB355" s="545"/>
    </row>
    <row r="356" spans="2:28" ht="15">
      <c r="B356" s="177" t="s">
        <v>126</v>
      </c>
      <c r="C356" s="178"/>
      <c r="D356" s="178"/>
      <c r="E356" s="178"/>
      <c r="F356" s="178"/>
      <c r="G356" s="178"/>
      <c r="H356" s="178"/>
      <c r="I356" s="178"/>
      <c r="J356" s="178"/>
      <c r="K356" s="178"/>
      <c r="L356" s="178"/>
      <c r="M356" s="178"/>
      <c r="N356" s="178"/>
      <c r="O356" s="178"/>
      <c r="P356" s="178"/>
      <c r="Q356" s="178"/>
      <c r="R356" s="178"/>
      <c r="S356" s="178">
        <v>0</v>
      </c>
      <c r="T356" s="178"/>
      <c r="V356" s="177" t="s">
        <v>126</v>
      </c>
      <c r="W356" s="544"/>
      <c r="X356" s="544"/>
      <c r="Y356" s="544"/>
      <c r="Z356" s="544"/>
      <c r="AA356" s="544"/>
      <c r="AB356" s="544"/>
    </row>
    <row r="357" spans="2:28" ht="15.6">
      <c r="B357" s="184" t="s">
        <v>127</v>
      </c>
      <c r="C357" s="99">
        <v>12982</v>
      </c>
      <c r="D357" s="99">
        <v>12982</v>
      </c>
      <c r="E357" s="99">
        <v>12982</v>
      </c>
      <c r="F357" s="99">
        <v>12982</v>
      </c>
      <c r="G357" s="99">
        <v>12982</v>
      </c>
      <c r="H357" s="99">
        <v>12982</v>
      </c>
      <c r="I357" s="99">
        <v>12982</v>
      </c>
      <c r="J357" s="99">
        <v>9650</v>
      </c>
      <c r="K357" s="99">
        <v>9650</v>
      </c>
      <c r="L357" s="99">
        <v>9650</v>
      </c>
      <c r="M357" s="99">
        <v>9650</v>
      </c>
      <c r="N357" s="99">
        <v>9650</v>
      </c>
      <c r="O357" s="99">
        <v>9650</v>
      </c>
      <c r="P357" s="99">
        <v>9650.4594660000002</v>
      </c>
      <c r="Q357" s="99">
        <v>9650.4594660000002</v>
      </c>
      <c r="R357" s="99">
        <v>9650.4594660000002</v>
      </c>
      <c r="S357" s="99">
        <v>9650.4594660000002</v>
      </c>
      <c r="T357" s="99">
        <v>9650.4594660000002</v>
      </c>
      <c r="V357" s="184" t="s">
        <v>127</v>
      </c>
      <c r="W357" s="99">
        <v>9650.4594660000002</v>
      </c>
      <c r="X357" s="99">
        <v>9650.4594660000002</v>
      </c>
      <c r="Y357" s="99">
        <v>9650.4594660000002</v>
      </c>
      <c r="Z357" s="99">
        <v>9650</v>
      </c>
      <c r="AA357" s="99">
        <v>9650.4594660000002</v>
      </c>
      <c r="AB357" s="542">
        <v>9650.4594660000002</v>
      </c>
    </row>
    <row r="358" spans="2:28" ht="15.6">
      <c r="B358" s="184" t="s">
        <v>128</v>
      </c>
      <c r="C358" s="99">
        <v>0</v>
      </c>
      <c r="D358" s="99">
        <v>0</v>
      </c>
      <c r="E358" s="99">
        <v>0</v>
      </c>
      <c r="F358" s="99">
        <v>0</v>
      </c>
      <c r="G358" s="99">
        <v>0</v>
      </c>
      <c r="H358" s="99">
        <v>0</v>
      </c>
      <c r="I358" s="99">
        <v>0</v>
      </c>
      <c r="J358" s="99">
        <v>0</v>
      </c>
      <c r="K358" s="99">
        <v>0</v>
      </c>
      <c r="L358" s="99">
        <v>0</v>
      </c>
      <c r="M358" s="99">
        <v>0</v>
      </c>
      <c r="N358" s="99">
        <v>0</v>
      </c>
      <c r="O358" s="99">
        <v>0</v>
      </c>
      <c r="P358" s="99">
        <v>0</v>
      </c>
      <c r="Q358" s="99">
        <v>0</v>
      </c>
      <c r="R358" s="99">
        <v>0</v>
      </c>
      <c r="S358" s="99">
        <v>0</v>
      </c>
      <c r="T358" s="99">
        <v>0</v>
      </c>
      <c r="V358" s="184" t="s">
        <v>128</v>
      </c>
      <c r="W358" s="99">
        <v>0</v>
      </c>
      <c r="X358" s="99">
        <v>0</v>
      </c>
      <c r="Y358" s="99">
        <v>0</v>
      </c>
      <c r="Z358" s="99" t="s">
        <v>1155</v>
      </c>
      <c r="AA358" s="99">
        <v>0</v>
      </c>
      <c r="AB358" s="542">
        <v>0</v>
      </c>
    </row>
    <row r="359" spans="2:28" ht="15.6">
      <c r="B359" s="184" t="s">
        <v>129</v>
      </c>
      <c r="C359" s="99">
        <v>0</v>
      </c>
      <c r="D359" s="99">
        <v>0</v>
      </c>
      <c r="E359" s="99">
        <v>0</v>
      </c>
      <c r="F359" s="99">
        <v>0</v>
      </c>
      <c r="G359" s="99">
        <v>0</v>
      </c>
      <c r="H359" s="99">
        <v>0</v>
      </c>
      <c r="I359" s="99">
        <v>0</v>
      </c>
      <c r="J359" s="99">
        <v>0</v>
      </c>
      <c r="K359" s="99">
        <v>0</v>
      </c>
      <c r="L359" s="99">
        <v>0</v>
      </c>
      <c r="M359" s="99">
        <v>0</v>
      </c>
      <c r="N359" s="99">
        <v>0</v>
      </c>
      <c r="O359" s="99">
        <v>0</v>
      </c>
      <c r="P359" s="99">
        <v>0</v>
      </c>
      <c r="Q359" s="99">
        <v>0</v>
      </c>
      <c r="R359" s="99">
        <v>0</v>
      </c>
      <c r="S359" s="99">
        <v>0</v>
      </c>
      <c r="T359" s="99">
        <v>0</v>
      </c>
      <c r="V359" s="184" t="s">
        <v>129</v>
      </c>
      <c r="W359" s="99">
        <v>0</v>
      </c>
      <c r="X359" s="99">
        <v>0</v>
      </c>
      <c r="Y359" s="99">
        <v>0</v>
      </c>
      <c r="Z359" s="99" t="s">
        <v>1155</v>
      </c>
      <c r="AA359" s="99">
        <v>0</v>
      </c>
      <c r="AB359" s="542">
        <v>0</v>
      </c>
    </row>
    <row r="360" spans="2:28" ht="15.6">
      <c r="B360" s="184" t="s">
        <v>130</v>
      </c>
      <c r="C360" s="99">
        <v>3322</v>
      </c>
      <c r="D360" s="99">
        <v>4531</v>
      </c>
      <c r="E360" s="99">
        <v>10627</v>
      </c>
      <c r="F360" s="99">
        <v>3826</v>
      </c>
      <c r="G360" s="99">
        <v>3826</v>
      </c>
      <c r="H360" s="99">
        <v>2447</v>
      </c>
      <c r="I360" s="99">
        <v>235</v>
      </c>
      <c r="J360" s="99">
        <v>235</v>
      </c>
      <c r="K360" s="99">
        <v>235</v>
      </c>
      <c r="L360" s="99">
        <v>-1600</v>
      </c>
      <c r="M360" s="99">
        <v>4517</v>
      </c>
      <c r="N360" s="99">
        <v>6353</v>
      </c>
      <c r="O360" s="99">
        <v>6353</v>
      </c>
      <c r="P360" s="99">
        <v>3478.084613</v>
      </c>
      <c r="Q360" s="99">
        <v>5325.4853899999998</v>
      </c>
      <c r="R360" s="99">
        <v>4787</v>
      </c>
      <c r="S360" s="99">
        <v>4787</v>
      </c>
      <c r="T360" s="99">
        <v>2452.3902840000001</v>
      </c>
      <c r="V360" s="184" t="s">
        <v>130</v>
      </c>
      <c r="W360" s="99">
        <v>6577.7258519999996</v>
      </c>
      <c r="X360" s="99">
        <v>4958.490135</v>
      </c>
      <c r="Y360" s="99">
        <v>4958.490135</v>
      </c>
      <c r="Z360" s="99">
        <v>12133</v>
      </c>
      <c r="AA360" s="99">
        <v>12132.628420999999</v>
      </c>
      <c r="AB360" s="542">
        <v>3683.419116</v>
      </c>
    </row>
    <row r="361" spans="2:28" ht="15.6">
      <c r="B361" s="184" t="s">
        <v>131</v>
      </c>
      <c r="C361" s="99">
        <v>7630</v>
      </c>
      <c r="D361" s="99">
        <v>6096</v>
      </c>
      <c r="E361" s="99">
        <v>1584</v>
      </c>
      <c r="F361" s="99">
        <v>2646</v>
      </c>
      <c r="G361" s="99">
        <v>3612</v>
      </c>
      <c r="H361" s="99">
        <v>4596</v>
      </c>
      <c r="I361" s="99">
        <v>1604</v>
      </c>
      <c r="J361" s="99">
        <v>3066</v>
      </c>
      <c r="K361" s="99">
        <v>4575</v>
      </c>
      <c r="L361" s="99">
        <v>6118</v>
      </c>
      <c r="M361" s="99">
        <v>1349</v>
      </c>
      <c r="N361" s="99">
        <v>2196</v>
      </c>
      <c r="O361" s="99">
        <v>2511</v>
      </c>
      <c r="P361" s="99">
        <v>1847.4007770000001</v>
      </c>
      <c r="Q361" s="99">
        <v>334.33596699999998</v>
      </c>
      <c r="R361" s="99">
        <v>491</v>
      </c>
      <c r="S361" s="99">
        <v>1223</v>
      </c>
      <c r="T361" s="99">
        <v>4125.3355680000004</v>
      </c>
      <c r="V361" s="184" t="s">
        <v>131</v>
      </c>
      <c r="W361" s="99">
        <v>1140.676387</v>
      </c>
      <c r="X361" s="99">
        <v>3016.4843609999998</v>
      </c>
      <c r="Y361" s="99">
        <v>6108.1511529999998</v>
      </c>
      <c r="Z361" s="99">
        <v>10249</v>
      </c>
      <c r="AA361" s="99">
        <v>2674.3689709999999</v>
      </c>
      <c r="AB361" s="542">
        <v>4387.6872020000001</v>
      </c>
    </row>
    <row r="362" spans="2:28" ht="15.6">
      <c r="B362" s="184" t="s">
        <v>132</v>
      </c>
      <c r="C362" s="99">
        <v>0</v>
      </c>
      <c r="D362" s="99">
        <v>0</v>
      </c>
      <c r="E362" s="99">
        <v>0</v>
      </c>
      <c r="F362" s="99">
        <v>0</v>
      </c>
      <c r="G362" s="99">
        <v>0</v>
      </c>
      <c r="H362" s="99">
        <v>0</v>
      </c>
      <c r="I362" s="99">
        <v>0</v>
      </c>
      <c r="J362" s="99">
        <v>0</v>
      </c>
      <c r="K362" s="99">
        <v>0</v>
      </c>
      <c r="L362" s="99">
        <v>0</v>
      </c>
      <c r="M362" s="99">
        <v>0</v>
      </c>
      <c r="N362" s="99">
        <v>0</v>
      </c>
      <c r="O362" s="99">
        <v>0</v>
      </c>
      <c r="P362" s="99">
        <v>0</v>
      </c>
      <c r="Q362" s="99">
        <v>0</v>
      </c>
      <c r="R362" s="99">
        <v>0</v>
      </c>
      <c r="S362" s="99">
        <v>0</v>
      </c>
      <c r="T362" s="99">
        <v>0</v>
      </c>
      <c r="V362" s="184" t="s">
        <v>132</v>
      </c>
      <c r="W362" s="99">
        <v>0</v>
      </c>
      <c r="X362" s="99">
        <v>0</v>
      </c>
      <c r="Y362" s="99">
        <v>-1.9999999999999999E-6</v>
      </c>
      <c r="Z362" s="99">
        <v>0</v>
      </c>
      <c r="AA362" s="99">
        <v>-1.9999999999999999E-6</v>
      </c>
      <c r="AB362" s="542">
        <v>-1.9999999999999999E-6</v>
      </c>
    </row>
    <row r="363" spans="2:28" ht="15">
      <c r="B363" s="167" t="s">
        <v>135</v>
      </c>
      <c r="C363" s="172">
        <v>23934</v>
      </c>
      <c r="D363" s="172">
        <v>23609</v>
      </c>
      <c r="E363" s="172">
        <v>25193</v>
      </c>
      <c r="F363" s="172">
        <v>19454</v>
      </c>
      <c r="G363" s="172">
        <v>20420</v>
      </c>
      <c r="H363" s="172">
        <v>20025</v>
      </c>
      <c r="I363" s="172">
        <v>14821</v>
      </c>
      <c r="J363" s="172">
        <v>12951</v>
      </c>
      <c r="K363" s="172">
        <v>14460</v>
      </c>
      <c r="L363" s="172">
        <v>14168</v>
      </c>
      <c r="M363" s="172">
        <v>15516</v>
      </c>
      <c r="N363" s="172">
        <v>18199</v>
      </c>
      <c r="O363" s="172">
        <v>18514</v>
      </c>
      <c r="P363" s="172">
        <f>SUM(P357:P362)</f>
        <v>14975.944856</v>
      </c>
      <c r="Q363" s="172">
        <f>SUM(Q357:Q362)</f>
        <v>15310.280823000001</v>
      </c>
      <c r="R363" s="172">
        <v>14928.459466</v>
      </c>
      <c r="S363" s="172">
        <v>15660.459466</v>
      </c>
      <c r="T363" s="172">
        <v>16228.185318000002</v>
      </c>
      <c r="V363" s="167" t="s">
        <v>135</v>
      </c>
      <c r="W363" s="543">
        <v>17368.861702999999</v>
      </c>
      <c r="X363" s="543">
        <v>17625.433959999998</v>
      </c>
      <c r="Y363" s="543">
        <v>20717.100751999998</v>
      </c>
      <c r="Z363" s="543">
        <v>21783</v>
      </c>
      <c r="AA363" s="543">
        <v>24457.456856000001</v>
      </c>
      <c r="AB363" s="543">
        <v>17721.565782000001</v>
      </c>
    </row>
    <row r="364" spans="2:28" ht="15">
      <c r="B364" s="121" t="s">
        <v>136</v>
      </c>
      <c r="C364" s="171">
        <v>119158</v>
      </c>
      <c r="D364" s="171">
        <v>102433</v>
      </c>
      <c r="E364" s="171">
        <v>100289</v>
      </c>
      <c r="F364" s="171">
        <v>90303</v>
      </c>
      <c r="G364" s="171">
        <v>85196</v>
      </c>
      <c r="H364" s="171">
        <v>88122</v>
      </c>
      <c r="I364" s="171">
        <v>87498</v>
      </c>
      <c r="J364" s="171">
        <v>85713</v>
      </c>
      <c r="K364" s="171">
        <v>77947</v>
      </c>
      <c r="L364" s="171">
        <v>82561</v>
      </c>
      <c r="M364" s="171">
        <v>79266</v>
      </c>
      <c r="N364" s="171">
        <v>80013</v>
      </c>
      <c r="O364" s="171">
        <v>67704</v>
      </c>
      <c r="P364" s="171">
        <f>+P354+P363</f>
        <v>66380.592720000001</v>
      </c>
      <c r="Q364" s="171">
        <f>+Q354+Q363</f>
        <v>62383.802811000009</v>
      </c>
      <c r="R364" s="171">
        <v>56716.459466</v>
      </c>
      <c r="S364" s="171">
        <v>49033.459466</v>
      </c>
      <c r="T364" s="171">
        <v>47994.394245000003</v>
      </c>
      <c r="V364" s="121" t="s">
        <v>136</v>
      </c>
      <c r="W364" s="541">
        <v>47801.741239999996</v>
      </c>
      <c r="X364" s="541">
        <v>52235.885998999998</v>
      </c>
      <c r="Y364" s="541">
        <v>50326.640354000003</v>
      </c>
      <c r="Z364" s="541">
        <v>59013</v>
      </c>
      <c r="AA364" s="541">
        <v>71161.285608999999</v>
      </c>
      <c r="AB364" s="541">
        <v>63678.425721000007</v>
      </c>
    </row>
    <row r="365" spans="2:28" ht="15.6">
      <c r="B365" s="132"/>
      <c r="C365" s="188">
        <v>0</v>
      </c>
      <c r="D365" s="188">
        <v>0</v>
      </c>
      <c r="E365" s="188">
        <v>0</v>
      </c>
      <c r="F365" s="188">
        <v>0</v>
      </c>
      <c r="G365" s="188">
        <v>0</v>
      </c>
      <c r="H365" s="188">
        <v>0</v>
      </c>
      <c r="I365" s="188">
        <v>0</v>
      </c>
      <c r="J365" s="188">
        <v>0</v>
      </c>
      <c r="K365" s="188">
        <v>0</v>
      </c>
      <c r="L365" s="188">
        <v>0</v>
      </c>
      <c r="M365" s="188">
        <v>0</v>
      </c>
      <c r="N365" s="188">
        <v>0</v>
      </c>
      <c r="O365" s="188"/>
      <c r="P365" s="188"/>
      <c r="R365" s="188"/>
      <c r="S365" s="188"/>
      <c r="Y365" s="611"/>
    </row>
    <row r="368" spans="2:28" ht="15.6">
      <c r="B368" s="54" t="s">
        <v>487</v>
      </c>
    </row>
    <row r="369" spans="2:2">
      <c r="B369" s="601" t="s">
        <v>488</v>
      </c>
    </row>
  </sheetData>
  <phoneticPr fontId="194" type="noConversion"/>
  <hyperlinks>
    <hyperlink ref="A1" location="Contenido!A1" display="Volver al Contenido" xr:uid="{7922A70B-1D5B-45D3-9E61-DC8FCD44D65E}"/>
    <hyperlink ref="B369" r:id="rId1" xr:uid="{858704FF-6695-4091-A9BE-6E0C9EA5EF46}"/>
  </hyperlinks>
  <pageMargins left="0.7" right="0.7" top="0.75" bottom="0.75" header="0.3" footer="0.3"/>
  <pageSetup orientation="portrait" r:id="rId2"/>
  <customProperties>
    <customPr name="_pios_id" r:id="rId3"/>
    <customPr name="EpmWorksheetKeyString_GUID"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C97CB73A86ED94CAF156EA5646363D5" ma:contentTypeVersion="4" ma:contentTypeDescription="Crear nuevo documento." ma:contentTypeScope="" ma:versionID="6595642f8091b6b1878dec562ba608b8">
  <xsd:schema xmlns:xsd="http://www.w3.org/2001/XMLSchema" xmlns:xs="http://www.w3.org/2001/XMLSchema" xmlns:p="http://schemas.microsoft.com/office/2006/metadata/properties" xmlns:ns2="d1610a21-a074-4229-b85c-ab2dff7aec42" xmlns:ns3="3f9c8b48-c114-464a-9356-e9a1b9b5a3e4" targetNamespace="http://schemas.microsoft.com/office/2006/metadata/properties" ma:root="true" ma:fieldsID="df608213e94023d81d9369dbcd6f84d0" ns2:_="" ns3:_="">
    <xsd:import namespace="d1610a21-a074-4229-b85c-ab2dff7aec42"/>
    <xsd:import namespace="3f9c8b48-c114-464a-9356-e9a1b9b5a3e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10a21-a074-4229-b85c-ab2dff7aec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9c8b48-c114-464a-9356-e9a1b9b5a3e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B4699902-4F03-4A42-9870-AE91B8BB3760}">
  <ds:schemaRefs>
    <ds:schemaRef ds:uri="http://purl.org/dc/dcmitype/"/>
    <ds:schemaRef ds:uri="http://schemas.microsoft.com/office/2006/documentManagement/types"/>
    <ds:schemaRef ds:uri="http://schemas.microsoft.com/office/2006/metadata/properties"/>
    <ds:schemaRef ds:uri="http://purl.org/dc/terms/"/>
    <ds:schemaRef ds:uri="3f9c8b48-c114-464a-9356-e9a1b9b5a3e4"/>
    <ds:schemaRef ds:uri="http://www.w3.org/XML/1998/namespace"/>
    <ds:schemaRef ds:uri="http://schemas.microsoft.com/office/infopath/2007/PartnerControls"/>
    <ds:schemaRef ds:uri="http://schemas.openxmlformats.org/package/2006/metadata/core-properties"/>
    <ds:schemaRef ds:uri="d1610a21-a074-4229-b85c-ab2dff7aec42"/>
    <ds:schemaRef ds:uri="http://purl.org/dc/elements/1.1/"/>
  </ds:schemaRefs>
</ds:datastoreItem>
</file>

<file path=customXml/itemProps3.xml><?xml version="1.0" encoding="utf-8"?>
<ds:datastoreItem xmlns:ds="http://schemas.openxmlformats.org/officeDocument/2006/customXml" ds:itemID="{911E2A56-4C98-4463-BCEA-76DF839B4F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10a21-a074-4229-b85c-ab2dff7aec42"/>
    <ds:schemaRef ds:uri="3f9c8b48-c114-464a-9356-e9a1b9b5a3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vt:i4>
      </vt:variant>
    </vt:vector>
  </HeadingPairs>
  <TitlesOfParts>
    <vt:vector size="23"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bonos</vt:lpstr>
      <vt:lpstr>Deuda consolidada créditos</vt:lpstr>
      <vt:lpstr>Perfil deuda</vt:lpstr>
      <vt:lpstr>CAPEX</vt:lpstr>
      <vt:lpstr>Regulación TE</vt:lpstr>
      <vt:lpstr>Regulación vías</vt:lpstr>
      <vt:lpstr>Tráfico vías</vt:lpstr>
      <vt:lpstr>Dividendos</vt:lpstr>
      <vt:lpstr>Proyectos</vt:lpstr>
      <vt:lpstr>Vencimiento Concesiones</vt:lpstr>
      <vt:lpstr>Participación en compañías</vt:lpstr>
      <vt:lpstr>Proyectos!_ftnref4</vt:lpstr>
      <vt:lpstr>Proyectos!_ftnref5</vt:lpstr>
      <vt:lpstr>Proyectos!_ftnref6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MATEO OCHOA TORO</cp:lastModifiedBy>
  <cp:revision/>
  <dcterms:created xsi:type="dcterms:W3CDTF">2020-09-01T20:14:00Z</dcterms:created>
  <dcterms:modified xsi:type="dcterms:W3CDTF">2023-08-01T16:21:57Z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0x010100CC97CB73A86ED94CAF156EA5646363D5</vt:lpwstr>
  </property>
</Properties>
</file>